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clerk\Desktop\Dropbox\SLPC 2026-27\Meetings\May and AGM\"/>
    </mc:Choice>
  </mc:AlternateContent>
  <xr:revisionPtr revIDLastSave="0" documentId="13_ncr:1_{3E8DE0C3-AD5F-46CE-98C6-B2573966CD04}" xr6:coauthVersionLast="47" xr6:coauthVersionMax="47" xr10:uidLastSave="{00000000-0000-0000-0000-000000000000}"/>
  <bookViews>
    <workbookView xWindow="-108" yWindow="-108" windowWidth="23256" windowHeight="12456" activeTab="1" xr2:uid="{0FBED808-6BFB-474F-B4C7-14DEA388565B}"/>
  </bookViews>
  <sheets>
    <sheet name="Summary Position" sheetId="1" r:id="rId1"/>
    <sheet name="Bank rec" sheetId="8" r:id="rId2"/>
    <sheet name="Payments" sheetId="5" r:id="rId3"/>
    <sheet name="Receipt" sheetId="6" r:id="rId4"/>
    <sheet name="Bus.AC" sheetId="7" r:id="rId5"/>
    <sheet name="General Income" sheetId="2" r:id="rId6"/>
    <sheet name="Hypothecated Funding" sheetId="4" r:id="rId7"/>
    <sheet name="General Expenditure" sheetId="35" r:id="rId8"/>
    <sheet name="Staff Costs" sheetId="12" r:id="rId9"/>
    <sheet name="Administration Costs" sheetId="14" r:id="rId10"/>
    <sheet name="Training Costs" sheetId="13" r:id="rId11"/>
    <sheet name="Professional Services" sheetId="29" r:id="rId12"/>
    <sheet name="Communications" sheetId="28" r:id="rId13"/>
    <sheet name="Contingency" sheetId="18" r:id="rId14"/>
    <sheet name="Maintenance" sheetId="27" r:id="rId15"/>
    <sheet name="Neighbourhood Plan" sheetId="25" r:id="rId16"/>
    <sheet name="Projects" sheetId="31" r:id="rId17"/>
    <sheet name="Lengthsman" sheetId="32" r:id="rId18"/>
    <sheet name="Signatories" sheetId="9" r:id="rId19"/>
    <sheet name="General Expenditure (old)" sheetId="3" r:id="rId20"/>
    <sheet name="General Expenditure Categories" sheetId="10" r:id="rId21"/>
    <sheet name="Notes" sheetId="34" r:id="rId22"/>
  </sheets>
  <definedNames>
    <definedName name="_xlnm._FilterDatabase" localSheetId="2" hidden="1">Payments!$A$3:$AC$71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5" l="1"/>
  <c r="C12" i="8" s="1"/>
  <c r="E21" i="7"/>
  <c r="C11" i="8" s="1"/>
  <c r="F20" i="12"/>
  <c r="D8" i="25"/>
  <c r="E8" i="25"/>
  <c r="E7" i="25"/>
  <c r="E6" i="25"/>
  <c r="F21" i="12"/>
  <c r="D22" i="12"/>
  <c r="E22" i="12"/>
  <c r="F12" i="12"/>
  <c r="G13" i="14"/>
  <c r="F11" i="12"/>
  <c r="F13" i="12"/>
  <c r="F14" i="12"/>
  <c r="F15" i="12"/>
  <c r="F16" i="12"/>
  <c r="F17" i="12"/>
  <c r="F18" i="12"/>
  <c r="F19" i="12"/>
  <c r="E23" i="6"/>
  <c r="D5" i="31"/>
  <c r="C5" i="31"/>
  <c r="D23" i="31"/>
  <c r="C23" i="31"/>
  <c r="E22" i="31"/>
  <c r="E23" i="31" s="1"/>
  <c r="E20" i="13"/>
  <c r="D20" i="13"/>
  <c r="E14" i="13"/>
  <c r="D14" i="13"/>
  <c r="F7" i="2"/>
  <c r="E7" i="2"/>
  <c r="D12" i="35"/>
  <c r="C12" i="35"/>
  <c r="D17" i="31"/>
  <c r="C17" i="31"/>
  <c r="E16" i="31"/>
  <c r="E17" i="31" s="1"/>
  <c r="E10" i="31"/>
  <c r="F6" i="35"/>
  <c r="F14" i="35"/>
  <c r="D11" i="35"/>
  <c r="F11" i="35" s="1"/>
  <c r="C11" i="35"/>
  <c r="D13" i="35"/>
  <c r="F13" i="35" s="1"/>
  <c r="C13" i="35"/>
  <c r="G13" i="13"/>
  <c r="G14" i="13" s="1"/>
  <c r="G12" i="14"/>
  <c r="E14" i="35"/>
  <c r="C8" i="35"/>
  <c r="E8" i="35" s="1"/>
  <c r="E6" i="35"/>
  <c r="E26" i="29"/>
  <c r="G27" i="12"/>
  <c r="G28" i="12"/>
  <c r="G29" i="12"/>
  <c r="G30" i="12"/>
  <c r="G31" i="12"/>
  <c r="G32" i="12"/>
  <c r="G33" i="12"/>
  <c r="G34" i="12"/>
  <c r="G35" i="12"/>
  <c r="G36" i="12"/>
  <c r="G37" i="12"/>
  <c r="G38" i="12"/>
  <c r="D39" i="12"/>
  <c r="E39" i="12"/>
  <c r="G19" i="13"/>
  <c r="G20" i="13" s="1"/>
  <c r="C14" i="27"/>
  <c r="C15" i="27" s="1"/>
  <c r="D14" i="27"/>
  <c r="D15" i="27" s="1"/>
  <c r="E13" i="27"/>
  <c r="F21" i="27"/>
  <c r="F22" i="27"/>
  <c r="F23" i="27"/>
  <c r="F24" i="27"/>
  <c r="C25" i="27"/>
  <c r="D25" i="27"/>
  <c r="D19" i="28"/>
  <c r="E19" i="28"/>
  <c r="D13" i="28"/>
  <c r="E13" i="28"/>
  <c r="D14" i="29"/>
  <c r="E14" i="29"/>
  <c r="D20" i="29"/>
  <c r="E20" i="29"/>
  <c r="C8" i="25"/>
  <c r="E5" i="25"/>
  <c r="E6" i="18"/>
  <c r="E5" i="18"/>
  <c r="D6" i="18"/>
  <c r="C6" i="18"/>
  <c r="C16" i="32"/>
  <c r="D6" i="32" s="1"/>
  <c r="C7" i="32"/>
  <c r="G18" i="28"/>
  <c r="G19" i="28" s="1"/>
  <c r="G12" i="28"/>
  <c r="G13" i="28" s="1"/>
  <c r="G25" i="29"/>
  <c r="G19" i="29"/>
  <c r="G13" i="29"/>
  <c r="G12" i="29"/>
  <c r="G5" i="4"/>
  <c r="F5" i="4"/>
  <c r="F4" i="4"/>
  <c r="C13" i="1" s="1"/>
  <c r="F5" i="2"/>
  <c r="F6" i="2"/>
  <c r="F8" i="2"/>
  <c r="F4" i="2"/>
  <c r="C7" i="8"/>
  <c r="F4" i="7"/>
  <c r="F5" i="7"/>
  <c r="F6" i="7"/>
  <c r="F7" i="7" s="1"/>
  <c r="F8" i="7" s="1"/>
  <c r="C21" i="7"/>
  <c r="D21" i="7"/>
  <c r="D23" i="6"/>
  <c r="C10" i="8" s="1"/>
  <c r="F23" i="6"/>
  <c r="G23" i="6"/>
  <c r="H23" i="6"/>
  <c r="I23" i="6"/>
  <c r="J23" i="6"/>
  <c r="K23" i="6"/>
  <c r="AC101" i="5"/>
  <c r="AB101" i="5"/>
  <c r="AA101" i="5"/>
  <c r="Z101" i="5"/>
  <c r="Y101" i="5"/>
  <c r="X101" i="5"/>
  <c r="W101" i="5"/>
  <c r="V101" i="5"/>
  <c r="U101" i="5"/>
  <c r="T101" i="5"/>
  <c r="S101" i="5"/>
  <c r="R101" i="5"/>
  <c r="Q101" i="5"/>
  <c r="P101" i="5"/>
  <c r="O101" i="5"/>
  <c r="N101" i="5"/>
  <c r="M101" i="5"/>
  <c r="L101" i="5"/>
  <c r="K101" i="5"/>
  <c r="J101" i="5"/>
  <c r="I101" i="5"/>
  <c r="H101" i="5"/>
  <c r="G101" i="5"/>
  <c r="F6" i="3"/>
  <c r="F7" i="3"/>
  <c r="F8" i="3"/>
  <c r="F9" i="3"/>
  <c r="F10" i="3"/>
  <c r="F11" i="3"/>
  <c r="F13" i="3"/>
  <c r="F15" i="3"/>
  <c r="F20" i="3"/>
  <c r="F22" i="3"/>
  <c r="F24" i="3"/>
  <c r="F26" i="3"/>
  <c r="G4" i="4"/>
  <c r="C23" i="3"/>
  <c r="F23" i="3" s="1"/>
  <c r="E6" i="3"/>
  <c r="E7" i="3"/>
  <c r="E8" i="3"/>
  <c r="E9" i="3"/>
  <c r="E10" i="3"/>
  <c r="E11" i="3"/>
  <c r="E13" i="3"/>
  <c r="E15" i="3"/>
  <c r="E19" i="3"/>
  <c r="E20" i="3"/>
  <c r="E22" i="3"/>
  <c r="E24" i="3"/>
  <c r="E26" i="3"/>
  <c r="F25" i="3"/>
  <c r="C21" i="3"/>
  <c r="F19" i="3"/>
  <c r="F18" i="3"/>
  <c r="F17" i="3"/>
  <c r="F16" i="3"/>
  <c r="C16" i="3"/>
  <c r="F14" i="3"/>
  <c r="C12" i="3"/>
  <c r="C5" i="3"/>
  <c r="E5" i="3" s="1"/>
  <c r="C4" i="3"/>
  <c r="E4" i="3" s="1"/>
  <c r="C9" i="2"/>
  <c r="C5" i="1" s="1"/>
  <c r="E8" i="2"/>
  <c r="E5" i="2"/>
  <c r="E4" i="2"/>
  <c r="E6" i="2"/>
  <c r="F22" i="12" l="1"/>
  <c r="L23" i="6"/>
  <c r="D6" i="13"/>
  <c r="C4" i="35"/>
  <c r="F12" i="35"/>
  <c r="C6" i="13"/>
  <c r="E6" i="13" s="1"/>
  <c r="E12" i="35"/>
  <c r="D11" i="31"/>
  <c r="F8" i="35"/>
  <c r="E13" i="35"/>
  <c r="D14" i="14"/>
  <c r="C5" i="14" s="1"/>
  <c r="E11" i="35"/>
  <c r="G26" i="29"/>
  <c r="D26" i="29"/>
  <c r="C6" i="29" s="1"/>
  <c r="C7" i="35" s="1"/>
  <c r="E7" i="35" s="1"/>
  <c r="C6" i="28"/>
  <c r="C9" i="35" s="1"/>
  <c r="E9" i="35" s="1"/>
  <c r="D6" i="28"/>
  <c r="D9" i="35" s="1"/>
  <c r="F9" i="35" s="1"/>
  <c r="D6" i="29"/>
  <c r="D7" i="35" s="1"/>
  <c r="E14" i="27"/>
  <c r="G39" i="12"/>
  <c r="D6" i="12"/>
  <c r="E15" i="27"/>
  <c r="E16" i="27"/>
  <c r="D16" i="27"/>
  <c r="D6" i="27" s="1"/>
  <c r="D10" i="35" s="1"/>
  <c r="F10" i="35" s="1"/>
  <c r="C16" i="27"/>
  <c r="C6" i="27" s="1"/>
  <c r="C10" i="35" s="1"/>
  <c r="F25" i="27"/>
  <c r="E6" i="32"/>
  <c r="D7" i="32"/>
  <c r="C13" i="8"/>
  <c r="E5" i="31"/>
  <c r="G14" i="29"/>
  <c r="E7" i="32"/>
  <c r="G20" i="29"/>
  <c r="F12" i="3"/>
  <c r="E21" i="3"/>
  <c r="F21" i="3"/>
  <c r="F4" i="3"/>
  <c r="F5" i="3"/>
  <c r="AD101" i="5"/>
  <c r="D9" i="2"/>
  <c r="D5" i="1" s="1"/>
  <c r="E12" i="3"/>
  <c r="E23" i="3"/>
  <c r="E17" i="3"/>
  <c r="E16" i="3"/>
  <c r="E18" i="3"/>
  <c r="E14" i="3"/>
  <c r="E25" i="3"/>
  <c r="D27" i="3"/>
  <c r="D9" i="1" s="1"/>
  <c r="C27" i="3"/>
  <c r="C9" i="1" s="1"/>
  <c r="E6" i="27" l="1"/>
  <c r="E10" i="35"/>
  <c r="E6" i="28"/>
  <c r="F7" i="35"/>
  <c r="C5" i="35"/>
  <c r="E6" i="12"/>
  <c r="D4" i="35"/>
  <c r="E11" i="31"/>
  <c r="C11" i="31"/>
  <c r="G14" i="14"/>
  <c r="E14" i="14"/>
  <c r="D5" i="14" s="1"/>
  <c r="D5" i="35" s="1"/>
  <c r="F5" i="35" s="1"/>
  <c r="E6" i="29"/>
  <c r="E9" i="2"/>
  <c r="E5" i="1" s="1"/>
  <c r="E27" i="3"/>
  <c r="E9" i="1" s="1"/>
  <c r="E5" i="35" l="1"/>
  <c r="C15" i="35"/>
  <c r="E5" i="14"/>
  <c r="F4" i="35"/>
  <c r="F15" i="35" s="1"/>
  <c r="E4" i="35"/>
  <c r="E15" i="35" s="1"/>
  <c r="D15" i="35"/>
</calcChain>
</file>

<file path=xl/sharedStrings.xml><?xml version="1.0" encoding="utf-8"?>
<sst xmlns="http://schemas.openxmlformats.org/spreadsheetml/2006/main" count="625" uniqueCount="266">
  <si>
    <t xml:space="preserve"> Budget 25-26</t>
  </si>
  <si>
    <t>Actual rec'd to date</t>
  </si>
  <si>
    <t>Remaining</t>
  </si>
  <si>
    <t>Precept inc Grant</t>
  </si>
  <si>
    <t>WCC re P/L</t>
  </si>
  <si>
    <t>Other</t>
  </si>
  <si>
    <t>Bank Interest</t>
  </si>
  <si>
    <t>WDC NHP Grant</t>
  </si>
  <si>
    <t>Total</t>
  </si>
  <si>
    <t>Budget</t>
  </si>
  <si>
    <t>Paid to date</t>
  </si>
  <si>
    <t xml:space="preserve">Staff costs </t>
  </si>
  <si>
    <t>Clerk expenses</t>
  </si>
  <si>
    <t>Admin costs</t>
  </si>
  <si>
    <t>Training</t>
  </si>
  <si>
    <t>Subscriptions</t>
  </si>
  <si>
    <t>Insurance</t>
  </si>
  <si>
    <t>Auditor Fees</t>
  </si>
  <si>
    <t>Grants/Donations</t>
  </si>
  <si>
    <t>Contingency</t>
  </si>
  <si>
    <t>Website</t>
  </si>
  <si>
    <t>Newsletter</t>
  </si>
  <si>
    <t xml:space="preserve">Contractor maintenance </t>
  </si>
  <si>
    <t>Annual Inspection</t>
  </si>
  <si>
    <t>Maintenance Assets</t>
  </si>
  <si>
    <t>Defib maintenance</t>
  </si>
  <si>
    <t>Neighbourhood Plan</t>
  </si>
  <si>
    <t>Litter Bin x 2</t>
  </si>
  <si>
    <t>VAS</t>
  </si>
  <si>
    <t>Projects Play area</t>
  </si>
  <si>
    <t>WCC PL</t>
  </si>
  <si>
    <t>P/L PC contribution</t>
  </si>
  <si>
    <t>VAT to recover</t>
  </si>
  <si>
    <t>Funds to increase reserves.</t>
  </si>
  <si>
    <t>TOTAL</t>
  </si>
  <si>
    <t>WCC Cllr VAS + NHB VAS</t>
  </si>
  <si>
    <t>Hypothecated Funding</t>
  </si>
  <si>
    <t>General Funding</t>
  </si>
  <si>
    <t>Received</t>
  </si>
  <si>
    <t>Spent</t>
  </si>
  <si>
    <t>General Expenditure</t>
  </si>
  <si>
    <t>Percentage Complete</t>
  </si>
  <si>
    <t>South Lenches Parish Council - Payments.</t>
  </si>
  <si>
    <t>Date</t>
  </si>
  <si>
    <t>Ref.</t>
  </si>
  <si>
    <t>Supplier</t>
  </si>
  <si>
    <t xml:space="preserve">Chq. </t>
  </si>
  <si>
    <t>Exp.</t>
  </si>
  <si>
    <t>Balance</t>
  </si>
  <si>
    <t>VAT</t>
  </si>
  <si>
    <t>Salary</t>
  </si>
  <si>
    <t>PAYE/NI</t>
  </si>
  <si>
    <t>Admin</t>
  </si>
  <si>
    <t>Subs</t>
  </si>
  <si>
    <t>Insur.</t>
  </si>
  <si>
    <t>Audit</t>
  </si>
  <si>
    <t>Conting</t>
  </si>
  <si>
    <t>N/Letter</t>
  </si>
  <si>
    <t>Pool contract</t>
  </si>
  <si>
    <t xml:space="preserve">Ann Insp </t>
  </si>
  <si>
    <t>Maint Assets</t>
  </si>
  <si>
    <t>Defib</t>
  </si>
  <si>
    <t>NP</t>
  </si>
  <si>
    <t>Litter Bin</t>
  </si>
  <si>
    <t>WCC P/L</t>
  </si>
  <si>
    <t>P/L PC</t>
  </si>
  <si>
    <t>Cil</t>
  </si>
  <si>
    <t>WCC CLLr Grant VAS</t>
  </si>
  <si>
    <t>B/F</t>
  </si>
  <si>
    <t>Balance B/F</t>
  </si>
  <si>
    <t>Receipts received</t>
  </si>
  <si>
    <t>P24-1</t>
  </si>
  <si>
    <t>ICO</t>
  </si>
  <si>
    <t>DD</t>
  </si>
  <si>
    <t>Lloyds Bank Service Charge</t>
  </si>
  <si>
    <t>CHG</t>
  </si>
  <si>
    <t>Worcs CALC (Annual subscription)</t>
  </si>
  <si>
    <t>FPO</t>
  </si>
  <si>
    <t>06.05.25</t>
  </si>
  <si>
    <t>Jonathan Hazlewood (Playground/Pool Contractor)</t>
  </si>
  <si>
    <t>Annual Audit (Gill Lungley)</t>
  </si>
  <si>
    <t>Clerk salary (KL)</t>
  </si>
  <si>
    <t>Business Services (Annual Insurance)</t>
  </si>
  <si>
    <t>HMRC PAYE</t>
  </si>
  <si>
    <t>Clerk expenses (KL)</t>
  </si>
  <si>
    <t>FPo</t>
  </si>
  <si>
    <t>01.09.25</t>
  </si>
  <si>
    <t>Simon Skeyes (Lengthsmen)</t>
  </si>
  <si>
    <t>BWP Creative (website hosting for 24/25)</t>
  </si>
  <si>
    <t>Wychavon District Council (Dog waste bin collection)</t>
  </si>
  <si>
    <t>PKF Littlejohn (External audit)</t>
  </si>
  <si>
    <t>Worcs CALC (Clerk training)</t>
  </si>
  <si>
    <t>06.10.25</t>
  </si>
  <si>
    <t>03.11.25</t>
  </si>
  <si>
    <t>Expenses KL - Microsoft annual subscription</t>
  </si>
  <si>
    <t>18.11.25</t>
  </si>
  <si>
    <t>Evesham Signworks (NHP)</t>
  </si>
  <si>
    <t xml:space="preserve">                                                                                                                                                                                                                                                                                                                                                                                                                                          </t>
  </si>
  <si>
    <t>CLICK THIS ROW TO INSERT FIGURE</t>
  </si>
  <si>
    <t>Worcestershire County Council - Lengthsmen scheme</t>
  </si>
  <si>
    <t>30.09.25</t>
  </si>
  <si>
    <t>Wychavon District Council</t>
  </si>
  <si>
    <t>29.09.25</t>
  </si>
  <si>
    <t>12.08.25</t>
  </si>
  <si>
    <t>Donations from CPR workshop</t>
  </si>
  <si>
    <t>23.05.25</t>
  </si>
  <si>
    <t>R24-2</t>
  </si>
  <si>
    <t>28.04.25</t>
  </si>
  <si>
    <t>Other.</t>
  </si>
  <si>
    <t>Cil WDC</t>
  </si>
  <si>
    <t>G/Work</t>
  </si>
  <si>
    <t>P/L</t>
  </si>
  <si>
    <t>WDC Grant Precept</t>
  </si>
  <si>
    <t>Precept</t>
  </si>
  <si>
    <t>Receipts</t>
  </si>
  <si>
    <t>South Lenches Parish Council - Receipts.</t>
  </si>
  <si>
    <t>09.12.25</t>
  </si>
  <si>
    <t>10.11.25</t>
  </si>
  <si>
    <t>09.10.25</t>
  </si>
  <si>
    <t>09.09.25</t>
  </si>
  <si>
    <t>11.08.25</t>
  </si>
  <si>
    <t>09.07.25</t>
  </si>
  <si>
    <t>09.06.25</t>
  </si>
  <si>
    <t>17.04.25</t>
  </si>
  <si>
    <t>09.04.25</t>
  </si>
  <si>
    <t>NOTE</t>
  </si>
  <si>
    <t>Bk. St.</t>
  </si>
  <si>
    <t>Interest</t>
  </si>
  <si>
    <t>Transfer out</t>
  </si>
  <si>
    <t xml:space="preserve">Transfer in </t>
  </si>
  <si>
    <t>B/St.</t>
  </si>
  <si>
    <t>SOUTH LENCHES BUSINESS INSTANT ACCESS A/C</t>
  </si>
  <si>
    <t>Signed by Chairman:</t>
  </si>
  <si>
    <t>less</t>
  </si>
  <si>
    <t xml:space="preserve">interest on Deposit a/c  </t>
  </si>
  <si>
    <t>add</t>
  </si>
  <si>
    <t>Opening Balance.</t>
  </si>
  <si>
    <t>balance C/F</t>
  </si>
  <si>
    <t xml:space="preserve">Minus payments </t>
  </si>
  <si>
    <t>Pads £40; Battery 2020 approx £210 at present; Defib £1070;Cabinet £295</t>
  </si>
  <si>
    <t>Julia Tyrrell (Limited power signatory)</t>
  </si>
  <si>
    <t>Banking online granted May 20</t>
  </si>
  <si>
    <t>Chris Seabourne (Full Signatory)</t>
  </si>
  <si>
    <t>Me (Full Signatory)</t>
  </si>
  <si>
    <t>General Income</t>
  </si>
  <si>
    <t>Payments</t>
  </si>
  <si>
    <t xml:space="preserve"> </t>
  </si>
  <si>
    <t>This is the gross salary paid to the parish clerk</t>
  </si>
  <si>
    <t>This is the amount of expenses incurred by the clerk for e.g. travel</t>
  </si>
  <si>
    <t>???</t>
  </si>
  <si>
    <t>This is the training budget for the councillors and clerk</t>
  </si>
  <si>
    <t>This is the amount spent on subscriptions by the countil - CALC, ???</t>
  </si>
  <si>
    <t>This is the cost of insurance for the council for a level of cover as recommended by CALC</t>
  </si>
  <si>
    <t>This is the cost of auditing in a year</t>
  </si>
  <si>
    <t>This is the amount set aside for grants and donations to be made by the council</t>
  </si>
  <si>
    <t>This is an amount set asied for unexpected costs or for overruns on other budget lines</t>
  </si>
  <si>
    <t>This is the cost of maintaining the council website</t>
  </si>
  <si>
    <t>This is the cost of publishing newsletters - primarily the ARCH messenger</t>
  </si>
  <si>
    <t>This is the amount spent to obtain a professional inspection of the play area including a safety assessment</t>
  </si>
  <si>
    <t>This is the amount spent on maintaining council assets</t>
  </si>
  <si>
    <t>This is the amount spent maintaining the defibrillator</t>
  </si>
  <si>
    <t>This is the amount set asied for production of the Neighbourhood Plan</t>
  </si>
  <si>
    <t>This is the amount spent to have the litter bins emptied</t>
  </si>
  <si>
    <t>This is the amount set aside for purchasing a VAS</t>
  </si>
  <si>
    <t>This is the amout set aside for projects???</t>
  </si>
  <si>
    <t>This is the Worcester County Council pay for the lengthsman</t>
  </si>
  <si>
    <t>This is the amount that the PCC pay for the lengthsman</t>
  </si>
  <si>
    <t>This is the amount spent on VAT that can be recovered by the parish council.</t>
  </si>
  <si>
    <t>This si the amount set aside for transfer to reserves.</t>
  </si>
  <si>
    <t>Received - Spent</t>
  </si>
  <si>
    <t>Budget - Spent</t>
  </si>
  <si>
    <t>This tab shows the variety of hypothecated funding streams that we have access to, how much of the hypothecated funding we have received, how much we have spent. If we have received Hypothecated Funding and not spent it, the remaining balance will be negative and turn red. If we have budgeted less than we have spent, the remaining balance will turn red.</t>
  </si>
  <si>
    <t>Auditing Costs</t>
  </si>
  <si>
    <t>Staff Costs</t>
  </si>
  <si>
    <t>Expenses</t>
  </si>
  <si>
    <t>Direct Payment</t>
  </si>
  <si>
    <t>Total Spent</t>
  </si>
  <si>
    <t>Difference</t>
  </si>
  <si>
    <t>Payment 25-26</t>
  </si>
  <si>
    <t>Maintenance</t>
  </si>
  <si>
    <t>Material Costs</t>
  </si>
  <si>
    <t>Contractor Costs</t>
  </si>
  <si>
    <t>Play Area Inspection</t>
  </si>
  <si>
    <t>Defibrillator Maintenance</t>
  </si>
  <si>
    <t>Communications</t>
  </si>
  <si>
    <t>Professional Services</t>
  </si>
  <si>
    <t>Administration Costs</t>
  </si>
  <si>
    <t>Training Costs</t>
  </si>
  <si>
    <t>Insurance Costs</t>
  </si>
  <si>
    <t>Internal Auditor</t>
  </si>
  <si>
    <t>External Auditor</t>
  </si>
  <si>
    <t>Grants and Donations</t>
  </si>
  <si>
    <t>Website and Email Package (BWP Creative)</t>
  </si>
  <si>
    <t>Status</t>
  </si>
  <si>
    <t>Date of last update</t>
  </si>
  <si>
    <t>Summary Position</t>
  </si>
  <si>
    <t>Lengthsman</t>
  </si>
  <si>
    <t>Budget Position</t>
  </si>
  <si>
    <t>Evesham Signworks</t>
  </si>
  <si>
    <t>Projects</t>
  </si>
  <si>
    <t>Line Item</t>
  </si>
  <si>
    <t>N/A</t>
  </si>
  <si>
    <t>Pool Maintenance (Jonathan Hazelwood)</t>
  </si>
  <si>
    <t>Litter Bins (WDC)</t>
  </si>
  <si>
    <t>Defibrillator Parts</t>
  </si>
  <si>
    <t>Noticeboard Parts</t>
  </si>
  <si>
    <t>Bench Parts</t>
  </si>
  <si>
    <t>Councillor Training</t>
  </si>
  <si>
    <t>Administration</t>
  </si>
  <si>
    <t>Clerk Training</t>
  </si>
  <si>
    <t>ARCH Messenger (Harvington Benefice)</t>
  </si>
  <si>
    <t>VAS (to reserves)</t>
  </si>
  <si>
    <t>Play Area</t>
  </si>
  <si>
    <t>VAT Reclaim</t>
  </si>
  <si>
    <t>Original Budget Line</t>
  </si>
  <si>
    <t>Explanation</t>
  </si>
  <si>
    <t>New Budget Line</t>
  </si>
  <si>
    <t>Professional Fees</t>
  </si>
  <si>
    <t>Recipient</t>
  </si>
  <si>
    <t>K. Lee</t>
  </si>
  <si>
    <t>Recpient</t>
  </si>
  <si>
    <t>CALC</t>
  </si>
  <si>
    <t>Parish Council Subscription</t>
  </si>
  <si>
    <t>Public Insurance</t>
  </si>
  <si>
    <t>PFK Littlejohn</t>
  </si>
  <si>
    <t>VAT Charged?</t>
  </si>
  <si>
    <t>Yes</t>
  </si>
  <si>
    <t>Gill Lungley</t>
  </si>
  <si>
    <t>BWP Creative</t>
  </si>
  <si>
    <t>Harvington Benefice</t>
  </si>
  <si>
    <t>Kate Lee</t>
  </si>
  <si>
    <t>VAT Charged</t>
  </si>
  <si>
    <t>N</t>
  </si>
  <si>
    <t>Bank Charge</t>
  </si>
  <si>
    <t>Lloyds</t>
  </si>
  <si>
    <t>Hall Rental</t>
  </si>
  <si>
    <t>Church Lench Village Hall</t>
  </si>
  <si>
    <t>Microsoft</t>
  </si>
  <si>
    <t>Y</t>
  </si>
  <si>
    <t>Ansvar Insurance</t>
  </si>
  <si>
    <t>No</t>
  </si>
  <si>
    <t>Jonathan Hazlewood</t>
  </si>
  <si>
    <t>Service charge (Lloyds)</t>
  </si>
  <si>
    <t>HMRC Shipley (Employer PAYE and NI)</t>
  </si>
  <si>
    <t>Worcestershire Calc (Clerk training)</t>
  </si>
  <si>
    <t>HMRC</t>
  </si>
  <si>
    <t>S Miles (Maps)</t>
  </si>
  <si>
    <t>PlanET</t>
  </si>
  <si>
    <t>28.02.2026</t>
  </si>
  <si>
    <t>Jonathan Hazelwood</t>
  </si>
  <si>
    <t>Kate Lee (January salary)</t>
  </si>
  <si>
    <t>HMRC - PAYE &amp; NI</t>
  </si>
  <si>
    <t>Becky Hopkinson (PlanET)</t>
  </si>
  <si>
    <t>CLVH - Hall hire for 24/25</t>
  </si>
  <si>
    <t>S Miles (NHP maps)</t>
  </si>
  <si>
    <t>Wychavon District Council - NHP funding</t>
  </si>
  <si>
    <t>balance per cash book at 28.02.2026</t>
  </si>
  <si>
    <t>HMRC - VAT return for 24/25</t>
  </si>
  <si>
    <t>Dated: 11/05/2025</t>
  </si>
  <si>
    <t>Bank Reconciliation for the period ending 31.03.26</t>
  </si>
  <si>
    <t>Current a/c at 31/03/2025</t>
  </si>
  <si>
    <t>Kate Lee (February salary)</t>
  </si>
  <si>
    <t>Worcestershire CC</t>
  </si>
  <si>
    <t>Carolyn Hodges (NHP expenses)</t>
  </si>
  <si>
    <t>payments for period 01.04.25 - 31.03.26</t>
  </si>
  <si>
    <t>Deposit a/c at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</si>
</sst>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0_ ;[Red]\-0.00\ "/>
  </numFmts>
  <fonts count="46" x14ac:knownFonts="1">
    <font>
      <sz val="12"/>
      <color theme="1"/>
      <name val="Aptos Narrow"/>
      <family val="2"/>
      <scheme val="minor"/>
    </font>
    <font>
      <sz val="12"/>
      <color theme="1"/>
      <name val="Aptos Narrow"/>
      <family val="2"/>
      <scheme val="minor"/>
    </font>
    <font>
      <b/>
      <sz val="12"/>
      <color theme="0"/>
      <name val="Aptos Narrow"/>
      <family val="2"/>
      <scheme val="minor"/>
    </font>
    <font>
      <sz val="10"/>
      <name val="Arial"/>
      <family val="2"/>
    </font>
    <font>
      <b/>
      <sz val="10"/>
      <name val="Arial"/>
      <family val="2"/>
    </font>
    <font>
      <b/>
      <sz val="10"/>
      <name val="Aptos Narrow"/>
      <family val="2"/>
      <scheme val="minor"/>
    </font>
    <font>
      <b/>
      <sz val="10"/>
      <name val="Calibri"/>
      <family val="2"/>
    </font>
    <font>
      <sz val="10"/>
      <color indexed="8"/>
      <name val="Calibri"/>
      <family val="2"/>
    </font>
    <font>
      <sz val="10"/>
      <name val="Aptos Narrow"/>
      <family val="2"/>
      <scheme val="minor"/>
    </font>
    <font>
      <sz val="10"/>
      <color rgb="FF000000"/>
      <name val="Calibri"/>
      <family val="2"/>
    </font>
    <font>
      <b/>
      <sz val="10"/>
      <color rgb="FF000000"/>
      <name val="Calibri"/>
      <family val="2"/>
    </font>
    <font>
      <b/>
      <sz val="10"/>
      <color indexed="8"/>
      <name val="Calibri"/>
      <family val="2"/>
    </font>
    <font>
      <sz val="10"/>
      <name val="Calibri"/>
      <family val="2"/>
    </font>
    <font>
      <sz val="11"/>
      <color theme="1"/>
      <name val="Aptos Narrow"/>
      <family val="2"/>
      <scheme val="minor"/>
    </font>
    <font>
      <sz val="10"/>
      <color theme="1"/>
      <name val="Calibri"/>
      <family val="2"/>
    </font>
    <font>
      <b/>
      <sz val="12"/>
      <color theme="1"/>
      <name val="Aptos Narrow"/>
      <scheme val="minor"/>
    </font>
    <font>
      <b/>
      <u/>
      <sz val="12"/>
      <color theme="1"/>
      <name val="Aptos Narrow"/>
      <scheme val="minor"/>
    </font>
    <font>
      <sz val="12"/>
      <color indexed="8"/>
      <name val="Calibri"/>
      <family val="2"/>
    </font>
    <font>
      <sz val="12"/>
      <name val="Calibri"/>
      <family val="2"/>
    </font>
    <font>
      <sz val="12"/>
      <name val="Aptos Narrow"/>
      <family val="2"/>
      <scheme val="minor"/>
    </font>
    <font>
      <sz val="12"/>
      <color rgb="FF000000"/>
      <name val="Aptos Narrow"/>
      <family val="2"/>
      <scheme val="minor"/>
    </font>
    <font>
      <b/>
      <u/>
      <sz val="16"/>
      <color theme="1"/>
      <name val="Aptos Narrow"/>
      <scheme val="minor"/>
    </font>
    <font>
      <b/>
      <u/>
      <sz val="10"/>
      <name val="Calibri"/>
      <family val="2"/>
    </font>
    <font>
      <b/>
      <u/>
      <sz val="12"/>
      <name val="Calibri"/>
      <family val="2"/>
    </font>
    <font>
      <sz val="12"/>
      <name val="Arial"/>
      <family val="2"/>
    </font>
    <font>
      <b/>
      <sz val="10"/>
      <color indexed="8"/>
      <name val="Aptos Narrow"/>
      <family val="2"/>
      <scheme val="minor"/>
    </font>
    <font>
      <sz val="11"/>
      <name val="Aptos Narrow"/>
      <family val="2"/>
      <scheme val="minor"/>
    </font>
    <font>
      <b/>
      <sz val="12"/>
      <name val="Aptos Narrow"/>
      <family val="2"/>
      <scheme val="minor"/>
    </font>
    <font>
      <b/>
      <sz val="12"/>
      <color indexed="8"/>
      <name val="Aptos Narrow"/>
      <family val="2"/>
      <scheme val="minor"/>
    </font>
    <font>
      <sz val="12"/>
      <color indexed="8"/>
      <name val="Aptos Narrow"/>
      <family val="2"/>
      <scheme val="minor"/>
    </font>
    <font>
      <sz val="9"/>
      <color theme="1"/>
      <name val="Aptos Narrow"/>
      <family val="2"/>
      <scheme val="minor"/>
    </font>
    <font>
      <sz val="11"/>
      <name val="Calibri"/>
      <family val="2"/>
    </font>
    <font>
      <b/>
      <sz val="11"/>
      <color theme="1"/>
      <name val="Aptos Narrow"/>
      <family val="2"/>
      <scheme val="minor"/>
    </font>
    <font>
      <u/>
      <sz val="10"/>
      <name val="Calibri"/>
      <family val="2"/>
    </font>
    <font>
      <sz val="10"/>
      <color indexed="8"/>
      <name val="Wingdings"/>
      <charset val="2"/>
    </font>
    <font>
      <b/>
      <sz val="11"/>
      <color indexed="8"/>
      <name val="Calibri"/>
      <family val="2"/>
    </font>
    <font>
      <b/>
      <sz val="11"/>
      <name val="Calibri"/>
      <family val="2"/>
    </font>
    <font>
      <sz val="11"/>
      <color indexed="8"/>
      <name val="Calibri"/>
      <family val="2"/>
    </font>
    <font>
      <sz val="11"/>
      <name val="Arial"/>
      <family val="2"/>
    </font>
    <font>
      <b/>
      <sz val="12"/>
      <name val="Arial"/>
      <family val="2"/>
    </font>
    <font>
      <sz val="12"/>
      <color theme="1"/>
      <name val="Aptos Narrow"/>
      <scheme val="minor"/>
    </font>
    <font>
      <b/>
      <u/>
      <sz val="20"/>
      <color theme="1"/>
      <name val="Aptos Narrow"/>
      <scheme val="minor"/>
    </font>
    <font>
      <b/>
      <sz val="12"/>
      <color rgb="FF000000"/>
      <name val="Aptos Narrow"/>
      <scheme val="minor"/>
    </font>
    <font>
      <b/>
      <sz val="12"/>
      <color rgb="FFFFFFFF"/>
      <name val="Aptos Narrow"/>
      <family val="2"/>
      <scheme val="minor"/>
    </font>
    <font>
      <b/>
      <sz val="12"/>
      <color theme="1"/>
      <name val="Aptos Narrow"/>
      <family val="2"/>
      <scheme val="minor"/>
    </font>
    <font>
      <b/>
      <sz val="12"/>
      <name val="Aptos Narrow"/>
      <scheme val="minor"/>
    </font>
  </fonts>
  <fills count="5">
    <fill>
      <patternFill patternType="none"/>
    </fill>
    <fill>
      <patternFill patternType="gray125"/>
    </fill>
    <fill>
      <patternFill patternType="solid">
        <fgColor rgb="FFA5A5A5"/>
      </patternFill>
    </fill>
    <fill>
      <patternFill patternType="solid">
        <fgColor rgb="FF92D050"/>
        <bgColor indexed="64"/>
      </patternFill>
    </fill>
    <fill>
      <patternFill patternType="solid">
        <fgColor rgb="FFA5A5A5"/>
        <bgColor rgb="FF000000"/>
      </patternFill>
    </fill>
  </fills>
  <borders count="6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bottom style="thin">
        <color indexed="64"/>
      </bottom>
      <diagonal/>
    </border>
    <border>
      <left style="thin">
        <color indexed="64"/>
      </left>
      <right style="slantDashDot">
        <color indexed="64"/>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diagonal/>
    </border>
    <border>
      <left/>
      <right style="thin">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slantDashDot">
        <color indexed="64"/>
      </top>
      <bottom style="slantDashDot">
        <color indexed="64"/>
      </bottom>
      <diagonal/>
    </border>
    <border>
      <left style="slantDashDot">
        <color indexed="64"/>
      </left>
      <right style="slantDashDot">
        <color indexed="64"/>
      </right>
      <top style="slantDashDot">
        <color indexed="64"/>
      </top>
      <bottom style="slantDashDot">
        <color indexed="64"/>
      </bottom>
      <diagonal/>
    </border>
    <border>
      <left style="thin">
        <color indexed="64"/>
      </left>
      <right style="slantDashDot">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diagonal/>
    </border>
    <border>
      <left/>
      <right style="thin">
        <color indexed="64"/>
      </right>
      <top style="slantDashDot">
        <color indexed="64"/>
      </top>
      <bottom style="slantDashDot">
        <color indexed="64"/>
      </bottom>
      <diagonal/>
    </border>
    <border>
      <left style="thin">
        <color indexed="64"/>
      </left>
      <right style="slantDashDot">
        <color indexed="64"/>
      </right>
      <top style="slantDashDot">
        <color indexed="64"/>
      </top>
      <bottom style="slantDashDot">
        <color indexed="64"/>
      </bottom>
      <diagonal/>
    </border>
    <border>
      <left style="slantDashDot">
        <color indexed="64"/>
      </left>
      <right style="slantDashDot">
        <color indexed="64"/>
      </right>
      <top/>
      <bottom style="thin">
        <color indexed="64"/>
      </bottom>
      <diagonal/>
    </border>
    <border>
      <left style="slantDashDot">
        <color indexed="64"/>
      </left>
      <right style="slantDashDot">
        <color indexed="64"/>
      </right>
      <top style="thin">
        <color indexed="64"/>
      </top>
      <bottom style="thin">
        <color indexed="64"/>
      </bottom>
      <diagonal/>
    </border>
    <border>
      <left style="slantDashDot">
        <color indexed="64"/>
      </left>
      <right style="slantDashDot">
        <color indexed="64"/>
      </right>
      <top style="thin">
        <color indexed="64"/>
      </top>
      <bottom style="slantDashDot">
        <color indexed="64"/>
      </bottom>
      <diagonal/>
    </border>
    <border>
      <left style="thin">
        <color indexed="64"/>
      </left>
      <right style="slantDashDot">
        <color indexed="64"/>
      </right>
      <top/>
      <bottom style="slantDashDot">
        <color indexed="64"/>
      </bottom>
      <diagonal/>
    </border>
    <border>
      <left style="slantDashDot">
        <color indexed="64"/>
      </left>
      <right style="thin">
        <color indexed="64"/>
      </right>
      <top style="slantDashDot">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slantDashDot">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style="thin">
        <color indexed="64"/>
      </left>
      <right/>
      <top/>
      <bottom style="thin">
        <color indexed="64"/>
      </bottom>
      <diagonal/>
    </border>
    <border>
      <left style="thin">
        <color indexed="64"/>
      </left>
      <right/>
      <top style="thin">
        <color indexed="64"/>
      </top>
      <bottom style="slantDashDot">
        <color indexed="64"/>
      </bottom>
      <diagonal/>
    </border>
    <border>
      <left style="slantDashDot">
        <color indexed="64"/>
      </left>
      <right style="thin">
        <color indexed="64"/>
      </right>
      <top/>
      <bottom style="thin">
        <color indexed="64"/>
      </bottom>
      <diagonal/>
    </border>
    <border>
      <left style="thin">
        <color indexed="64"/>
      </left>
      <right style="slantDashDot">
        <color indexed="64"/>
      </right>
      <top/>
      <bottom/>
      <diagonal/>
    </border>
    <border>
      <left style="slantDashDot">
        <color indexed="64"/>
      </left>
      <right style="slantDashDot">
        <color indexed="64"/>
      </right>
      <top style="slantDashDot">
        <color indexed="64"/>
      </top>
      <bottom style="thin">
        <color indexed="64"/>
      </bottom>
      <diagonal/>
    </border>
    <border>
      <left style="thin">
        <color indexed="64"/>
      </left>
      <right style="thick">
        <color indexed="64"/>
      </right>
      <top style="thick">
        <color indexed="64"/>
      </top>
      <bottom style="thick">
        <color indexed="64"/>
      </bottom>
      <diagonal/>
    </border>
    <border>
      <left style="slantDashDot">
        <color indexed="64"/>
      </left>
      <right/>
      <top style="slantDashDot">
        <color indexed="64"/>
      </top>
      <bottom style="thin">
        <color indexed="64"/>
      </bottom>
      <diagonal/>
    </border>
    <border>
      <left style="slantDashDot">
        <color indexed="64"/>
      </left>
      <right/>
      <top style="slantDashDot">
        <color indexed="64"/>
      </top>
      <bottom style="thick">
        <color indexed="64"/>
      </bottom>
      <diagonal/>
    </border>
    <border>
      <left style="slantDashDot">
        <color indexed="64"/>
      </left>
      <right style="thin">
        <color indexed="64"/>
      </right>
      <top style="thick">
        <color indexed="64"/>
      </top>
      <bottom style="thick">
        <color indexed="64"/>
      </bottom>
      <diagonal/>
    </border>
    <border>
      <left/>
      <right style="slantDashDot">
        <color indexed="64"/>
      </right>
      <top style="slantDashDot">
        <color indexed="64"/>
      </top>
      <bottom style="slantDashDot">
        <color indexed="64"/>
      </bottom>
      <diagonal/>
    </border>
    <border>
      <left/>
      <right style="slantDashDot">
        <color indexed="64"/>
      </right>
      <top/>
      <bottom style="thin">
        <color indexed="64"/>
      </bottom>
      <diagonal/>
    </border>
    <border>
      <left/>
      <right style="thick">
        <color indexed="64"/>
      </right>
      <top style="thick">
        <color indexed="64"/>
      </top>
      <bottom style="thick">
        <color indexed="64"/>
      </bottom>
      <diagonal/>
    </border>
    <border>
      <left/>
      <right style="slantDashDot">
        <color indexed="64"/>
      </right>
      <top style="thin">
        <color indexed="64"/>
      </top>
      <bottom style="thin">
        <color indexed="64"/>
      </bottom>
      <diagonal/>
    </border>
    <border>
      <left style="slantDashDot">
        <color indexed="64"/>
      </left>
      <right style="thin">
        <color indexed="64"/>
      </right>
      <top/>
      <bottom style="slantDashDot">
        <color indexed="64"/>
      </bottom>
      <diagonal/>
    </border>
    <border>
      <left style="thin">
        <color indexed="64"/>
      </left>
      <right style="thin">
        <color indexed="64"/>
      </right>
      <top/>
      <bottom style="slantDashDot">
        <color indexed="64"/>
      </bottom>
      <diagonal/>
    </border>
    <border>
      <left style="slantDashDot">
        <color indexed="64"/>
      </left>
      <right/>
      <top/>
      <bottom/>
      <diagonal/>
    </border>
    <border>
      <left/>
      <right style="slantDashDot">
        <color indexed="64"/>
      </right>
      <top style="slantDashDot">
        <color indexed="64"/>
      </top>
      <bottom style="thin">
        <color indexed="64"/>
      </bottom>
      <diagonal/>
    </border>
    <border>
      <left/>
      <right style="slantDashDot">
        <color indexed="64"/>
      </right>
      <top style="thin">
        <color indexed="64"/>
      </top>
      <bottom style="thick">
        <color indexed="64"/>
      </bottom>
      <diagonal/>
    </border>
    <border>
      <left style="thin">
        <color indexed="64"/>
      </left>
      <right/>
      <top/>
      <bottom style="slantDashDot">
        <color indexed="64"/>
      </bottom>
      <diagonal/>
    </border>
    <border>
      <left/>
      <right style="slantDashDot">
        <color indexed="64"/>
      </right>
      <top style="thin">
        <color indexed="64"/>
      </top>
      <bottom/>
      <diagonal/>
    </border>
    <border>
      <left/>
      <right style="thin">
        <color indexed="64"/>
      </right>
      <top/>
      <bottom/>
      <diagonal/>
    </border>
    <border>
      <left/>
      <right style="slantDashDot">
        <color indexed="64"/>
      </right>
      <top/>
      <bottom/>
      <diagonal/>
    </border>
    <border>
      <left style="slantDashDot">
        <color indexed="64"/>
      </left>
      <right style="slantDashDot">
        <color indexed="64"/>
      </right>
      <top/>
      <bottom/>
      <diagonal/>
    </border>
    <border>
      <left/>
      <right style="double">
        <color rgb="FF3F3F3F"/>
      </right>
      <top style="double">
        <color rgb="FF3F3F3F"/>
      </top>
      <bottom style="double">
        <color rgb="FF3F3F3F"/>
      </bottom>
      <diagonal/>
    </border>
    <border>
      <left/>
      <right style="thin">
        <color indexed="64"/>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right/>
      <top style="slantDashDot">
        <color indexed="64"/>
      </top>
      <bottom style="thin">
        <color indexed="64"/>
      </bottom>
      <diagonal/>
    </border>
    <border>
      <left/>
      <right/>
      <top style="thin">
        <color indexed="64"/>
      </top>
      <bottom/>
      <diagonal/>
    </border>
    <border>
      <left style="slantDashDot">
        <color indexed="64"/>
      </left>
      <right/>
      <top style="slantDashDot">
        <color indexed="64"/>
      </top>
      <bottom/>
      <diagonal/>
    </border>
    <border>
      <left style="slantDashDot">
        <color indexed="64"/>
      </left>
      <right/>
      <top/>
      <bottom style="thin">
        <color indexed="64"/>
      </bottom>
      <diagonal/>
    </border>
  </borders>
  <cellStyleXfs count="6">
    <xf numFmtId="0" fontId="0" fillId="0" borderId="0"/>
    <xf numFmtId="0" fontId="2" fillId="2" borderId="1" applyNumberFormat="0" applyAlignment="0" applyProtection="0"/>
    <xf numFmtId="0" fontId="3" fillId="0" borderId="0"/>
    <xf numFmtId="0" fontId="13" fillId="0" borderId="0"/>
    <xf numFmtId="0" fontId="3" fillId="0" borderId="0"/>
    <xf numFmtId="44" fontId="1" fillId="0" borderId="0" applyFont="0" applyFill="0" applyBorder="0" applyAlignment="0" applyProtection="0"/>
  </cellStyleXfs>
  <cellXfs count="260">
    <xf numFmtId="0" fontId="0" fillId="0" borderId="0" xfId="0"/>
    <xf numFmtId="38" fontId="4" fillId="0" borderId="2" xfId="2" applyNumberFormat="1" applyFont="1" applyBorder="1"/>
    <xf numFmtId="0" fontId="5" fillId="0" borderId="2" xfId="2" applyFont="1" applyBorder="1" applyAlignment="1">
      <alignment horizontal="center" wrapText="1"/>
    </xf>
    <xf numFmtId="38" fontId="7" fillId="0" borderId="2" xfId="2" applyNumberFormat="1" applyFont="1" applyBorder="1"/>
    <xf numFmtId="2" fontId="6" fillId="0" borderId="2" xfId="2" applyNumberFormat="1" applyFont="1" applyBorder="1" applyAlignment="1">
      <alignment horizontal="center"/>
    </xf>
    <xf numFmtId="0" fontId="0" fillId="0" borderId="0" xfId="0" applyAlignment="1">
      <alignment wrapText="1"/>
    </xf>
    <xf numFmtId="38" fontId="9" fillId="0" borderId="3" xfId="0" applyNumberFormat="1" applyFont="1" applyBorder="1"/>
    <xf numFmtId="2" fontId="12" fillId="0" borderId="2" xfId="2" applyNumberFormat="1" applyFont="1" applyBorder="1" applyAlignment="1">
      <alignment horizontal="center"/>
    </xf>
    <xf numFmtId="0" fontId="16" fillId="0" borderId="0" xfId="0" applyFont="1"/>
    <xf numFmtId="0" fontId="0" fillId="0" borderId="2" xfId="0" applyBorder="1"/>
    <xf numFmtId="0" fontId="21" fillId="0" borderId="0" xfId="0" applyFont="1"/>
    <xf numFmtId="0" fontId="22" fillId="0" borderId="0" xfId="2" applyFont="1"/>
    <xf numFmtId="0" fontId="23" fillId="0" borderId="0" xfId="2" applyFont="1"/>
    <xf numFmtId="0" fontId="24" fillId="0" borderId="0" xfId="2" applyFont="1"/>
    <xf numFmtId="0" fontId="1" fillId="0" borderId="0" xfId="3" applyFont="1"/>
    <xf numFmtId="0" fontId="13" fillId="0" borderId="0" xfId="3"/>
    <xf numFmtId="0" fontId="25" fillId="0" borderId="2" xfId="2" applyFont="1" applyBorder="1"/>
    <xf numFmtId="165" fontId="5" fillId="0" borderId="2" xfId="2" applyNumberFormat="1" applyFont="1" applyBorder="1"/>
    <xf numFmtId="164" fontId="25" fillId="0" borderId="2" xfId="2" applyNumberFormat="1" applyFont="1" applyBorder="1"/>
    <xf numFmtId="0" fontId="25" fillId="0" borderId="2" xfId="2" applyFont="1" applyBorder="1" applyAlignment="1">
      <alignment horizontal="center" wrapText="1"/>
    </xf>
    <xf numFmtId="0" fontId="25" fillId="0" borderId="2" xfId="2" applyFont="1" applyBorder="1" applyAlignment="1">
      <alignment wrapText="1"/>
    </xf>
    <xf numFmtId="0" fontId="5" fillId="0" borderId="2" xfId="3" applyFont="1" applyBorder="1" applyAlignment="1">
      <alignment wrapText="1"/>
    </xf>
    <xf numFmtId="0" fontId="26" fillId="0" borderId="2" xfId="2" applyFont="1" applyBorder="1"/>
    <xf numFmtId="2" fontId="27" fillId="0" borderId="2" xfId="2" applyNumberFormat="1" applyFont="1" applyBorder="1" applyAlignment="1">
      <alignment horizontal="left"/>
    </xf>
    <xf numFmtId="2" fontId="27" fillId="0" borderId="2" xfId="2" applyNumberFormat="1" applyFont="1" applyBorder="1" applyAlignment="1">
      <alignment horizontal="center"/>
    </xf>
    <xf numFmtId="2" fontId="28" fillId="0" borderId="2" xfId="2" applyNumberFormat="1" applyFont="1" applyBorder="1" applyAlignment="1">
      <alignment horizontal="left"/>
    </xf>
    <xf numFmtId="2" fontId="29" fillId="0" borderId="2" xfId="2" applyNumberFormat="1" applyFont="1" applyBorder="1" applyAlignment="1">
      <alignment horizontal="left"/>
    </xf>
    <xf numFmtId="2" fontId="19" fillId="0" borderId="2" xfId="2" applyNumberFormat="1" applyFont="1" applyBorder="1" applyAlignment="1">
      <alignment horizontal="left"/>
    </xf>
    <xf numFmtId="2" fontId="19" fillId="0" borderId="2" xfId="2" applyNumberFormat="1" applyFont="1" applyBorder="1" applyAlignment="1">
      <alignment horizontal="right"/>
    </xf>
    <xf numFmtId="0" fontId="1" fillId="0" borderId="2" xfId="3" applyFont="1" applyBorder="1"/>
    <xf numFmtId="2" fontId="27" fillId="0" borderId="2" xfId="3" applyNumberFormat="1" applyFont="1" applyBorder="1"/>
    <xf numFmtId="0" fontId="30" fillId="0" borderId="0" xfId="3" applyFont="1"/>
    <xf numFmtId="0" fontId="27" fillId="0" borderId="2" xfId="2" applyFont="1" applyBorder="1" applyAlignment="1">
      <alignment horizontal="left"/>
    </xf>
    <xf numFmtId="2" fontId="19" fillId="0" borderId="2" xfId="2" applyNumberFormat="1" applyFont="1" applyBorder="1" applyAlignment="1">
      <alignment horizontal="left" wrapText="1"/>
    </xf>
    <xf numFmtId="0" fontId="19" fillId="0" borderId="2" xfId="2" applyFont="1" applyBorder="1" applyAlignment="1">
      <alignment horizontal="left"/>
    </xf>
    <xf numFmtId="2" fontId="19" fillId="0" borderId="2" xfId="2" applyNumberFormat="1" applyFont="1" applyBorder="1" applyAlignment="1">
      <alignment horizontal="center"/>
    </xf>
    <xf numFmtId="0" fontId="26" fillId="3" borderId="2" xfId="2" applyFont="1" applyFill="1" applyBorder="1"/>
    <xf numFmtId="0" fontId="1" fillId="0" borderId="2" xfId="3" applyFont="1" applyBorder="1" applyAlignment="1">
      <alignment horizontal="center"/>
    </xf>
    <xf numFmtId="0" fontId="26" fillId="3" borderId="13" xfId="2" applyFont="1" applyFill="1" applyBorder="1"/>
    <xf numFmtId="0" fontId="26" fillId="0" borderId="0" xfId="2" applyFont="1"/>
    <xf numFmtId="2" fontId="19" fillId="0" borderId="2" xfId="3" applyNumberFormat="1" applyFont="1" applyBorder="1" applyAlignment="1">
      <alignment horizontal="left"/>
    </xf>
    <xf numFmtId="0" fontId="7" fillId="0" borderId="2" xfId="2" applyFont="1" applyBorder="1"/>
    <xf numFmtId="0" fontId="30" fillId="0" borderId="2" xfId="3" applyFont="1" applyBorder="1"/>
    <xf numFmtId="0" fontId="31" fillId="0" borderId="0" xfId="2" applyFont="1"/>
    <xf numFmtId="2" fontId="1" fillId="0" borderId="0" xfId="3" applyNumberFormat="1" applyFont="1"/>
    <xf numFmtId="0" fontId="7" fillId="0" borderId="0" xfId="3" applyFont="1"/>
    <xf numFmtId="4" fontId="8" fillId="0" borderId="0" xfId="3" applyNumberFormat="1" applyFont="1"/>
    <xf numFmtId="2" fontId="7" fillId="0" borderId="0" xfId="3" applyNumberFormat="1" applyFont="1" applyAlignment="1">
      <alignment horizontal="right"/>
    </xf>
    <xf numFmtId="2" fontId="12" fillId="0" borderId="0" xfId="3" applyNumberFormat="1" applyFont="1" applyAlignment="1">
      <alignment horizontal="right"/>
    </xf>
    <xf numFmtId="0" fontId="8" fillId="0" borderId="0" xfId="2" applyFont="1"/>
    <xf numFmtId="0" fontId="8" fillId="0" borderId="0" xfId="2" applyFont="1" applyAlignment="1">
      <alignment horizontal="left"/>
    </xf>
    <xf numFmtId="2" fontId="32" fillId="0" borderId="0" xfId="3" applyNumberFormat="1" applyFont="1"/>
    <xf numFmtId="2" fontId="6" fillId="0" borderId="2" xfId="2" applyNumberFormat="1" applyFont="1" applyBorder="1"/>
    <xf numFmtId="0" fontId="12" fillId="0" borderId="2" xfId="2" applyFont="1" applyBorder="1"/>
    <xf numFmtId="2" fontId="12" fillId="0" borderId="2" xfId="2" applyNumberFormat="1" applyFont="1" applyBorder="1"/>
    <xf numFmtId="0" fontId="11" fillId="0" borderId="2" xfId="2" applyFont="1" applyBorder="1"/>
    <xf numFmtId="0" fontId="3" fillId="0" borderId="0" xfId="2"/>
    <xf numFmtId="0" fontId="33" fillId="0" borderId="0" xfId="2" applyFont="1"/>
    <xf numFmtId="0" fontId="12" fillId="0" borderId="0" xfId="4" applyFont="1"/>
    <xf numFmtId="2" fontId="6" fillId="0" borderId="0" xfId="4" applyNumberFormat="1" applyFont="1"/>
    <xf numFmtId="2" fontId="11" fillId="0" borderId="0" xfId="4" applyNumberFormat="1" applyFont="1"/>
    <xf numFmtId="0" fontId="13" fillId="0" borderId="2" xfId="3" applyBorder="1"/>
    <xf numFmtId="0" fontId="12" fillId="0" borderId="2" xfId="4" applyFont="1" applyBorder="1"/>
    <xf numFmtId="2" fontId="6" fillId="0" borderId="15" xfId="4" applyNumberFormat="1" applyFont="1" applyBorder="1"/>
    <xf numFmtId="2" fontId="11" fillId="0" borderId="2" xfId="4" applyNumberFormat="1" applyFont="1" applyBorder="1"/>
    <xf numFmtId="0" fontId="34" fillId="0" borderId="2" xfId="4" applyFont="1" applyBorder="1"/>
    <xf numFmtId="2" fontId="11" fillId="0" borderId="15" xfId="4" applyNumberFormat="1" applyFont="1" applyBorder="1"/>
    <xf numFmtId="2" fontId="12" fillId="0" borderId="2" xfId="4" applyNumberFormat="1" applyFont="1" applyBorder="1"/>
    <xf numFmtId="0" fontId="35" fillId="0" borderId="2" xfId="4" applyFont="1" applyBorder="1"/>
    <xf numFmtId="165" fontId="36" fillId="0" borderId="2" xfId="4" applyNumberFormat="1" applyFont="1" applyBorder="1"/>
    <xf numFmtId="0" fontId="37" fillId="0" borderId="2" xfId="4" applyFont="1" applyBorder="1"/>
    <xf numFmtId="0" fontId="32" fillId="0" borderId="2" xfId="3" applyFont="1" applyBorder="1"/>
    <xf numFmtId="164" fontId="35" fillId="0" borderId="15" xfId="4" applyNumberFormat="1" applyFont="1" applyBorder="1"/>
    <xf numFmtId="0" fontId="35" fillId="0" borderId="0" xfId="3" applyFont="1"/>
    <xf numFmtId="0" fontId="6" fillId="0" borderId="0" xfId="4" applyFont="1"/>
    <xf numFmtId="0" fontId="36" fillId="0" borderId="0" xfId="4" applyFont="1"/>
    <xf numFmtId="0" fontId="38" fillId="0" borderId="0" xfId="4" applyFont="1"/>
    <xf numFmtId="2" fontId="36" fillId="0" borderId="0" xfId="4" applyNumberFormat="1" applyFont="1"/>
    <xf numFmtId="2" fontId="38" fillId="0" borderId="0" xfId="4" applyNumberFormat="1" applyFont="1"/>
    <xf numFmtId="2" fontId="13" fillId="0" borderId="0" xfId="3" applyNumberFormat="1"/>
    <xf numFmtId="2" fontId="39" fillId="0" borderId="2" xfId="4" applyNumberFormat="1" applyFont="1" applyBorder="1"/>
    <xf numFmtId="2" fontId="24" fillId="0" borderId="2" xfId="4" applyNumberFormat="1" applyFont="1" applyBorder="1" applyAlignment="1">
      <alignment horizontal="right"/>
    </xf>
    <xf numFmtId="2" fontId="24" fillId="0" borderId="2" xfId="4" applyNumberFormat="1" applyFont="1" applyBorder="1"/>
    <xf numFmtId="2" fontId="24" fillId="0" borderId="2" xfId="2" applyNumberFormat="1" applyFont="1" applyBorder="1" applyAlignment="1">
      <alignment horizontal="right"/>
    </xf>
    <xf numFmtId="2" fontId="24" fillId="0" borderId="0" xfId="4" applyNumberFormat="1" applyFont="1"/>
    <xf numFmtId="2" fontId="24" fillId="0" borderId="16" xfId="4" applyNumberFormat="1" applyFont="1" applyBorder="1" applyAlignment="1">
      <alignment horizontal="right"/>
    </xf>
    <xf numFmtId="1" fontId="24" fillId="0" borderId="17" xfId="4" applyNumberFormat="1" applyFont="1" applyBorder="1" applyAlignment="1">
      <alignment horizontal="right"/>
    </xf>
    <xf numFmtId="1" fontId="24" fillId="0" borderId="18" xfId="4" applyNumberFormat="1" applyFont="1" applyBorder="1" applyAlignment="1">
      <alignment horizontal="right"/>
    </xf>
    <xf numFmtId="2" fontId="24" fillId="0" borderId="2" xfId="2" applyNumberFormat="1" applyFont="1" applyBorder="1"/>
    <xf numFmtId="1" fontId="24" fillId="0" borderId="19" xfId="4" applyNumberFormat="1" applyFont="1" applyBorder="1"/>
    <xf numFmtId="1" fontId="39" fillId="0" borderId="0" xfId="4" applyNumberFormat="1" applyFont="1"/>
    <xf numFmtId="9" fontId="0" fillId="0" borderId="2" xfId="0" applyNumberFormat="1" applyBorder="1"/>
    <xf numFmtId="0" fontId="15" fillId="0" borderId="0" xfId="0" applyFont="1" applyAlignment="1">
      <alignment horizontal="center"/>
    </xf>
    <xf numFmtId="164" fontId="10" fillId="0" borderId="2" xfId="0" applyNumberFormat="1" applyFont="1" applyBorder="1" applyAlignment="1">
      <alignment horizontal="center"/>
    </xf>
    <xf numFmtId="164" fontId="6" fillId="0" borderId="2" xfId="2" applyNumberFormat="1" applyFont="1" applyBorder="1" applyAlignment="1">
      <alignment horizontal="center"/>
    </xf>
    <xf numFmtId="38" fontId="10" fillId="0" borderId="0" xfId="0" applyNumberFormat="1" applyFont="1"/>
    <xf numFmtId="164" fontId="7" fillId="0" borderId="2" xfId="2" applyNumberFormat="1" applyFont="1" applyBorder="1" applyAlignment="1">
      <alignment horizontal="center"/>
    </xf>
    <xf numFmtId="164" fontId="9" fillId="0" borderId="4" xfId="0" applyNumberFormat="1" applyFont="1" applyBorder="1" applyAlignment="1">
      <alignment horizontal="center"/>
    </xf>
    <xf numFmtId="164" fontId="12" fillId="0" borderId="7" xfId="2" applyNumberFormat="1" applyFont="1" applyBorder="1" applyAlignment="1">
      <alignment horizontal="center"/>
    </xf>
    <xf numFmtId="164" fontId="12" fillId="0" borderId="6" xfId="2" applyNumberFormat="1" applyFont="1" applyBorder="1" applyAlignment="1">
      <alignment horizontal="center"/>
    </xf>
    <xf numFmtId="164" fontId="12" fillId="0" borderId="5" xfId="2" applyNumberFormat="1" applyFont="1" applyBorder="1" applyAlignment="1">
      <alignment horizontal="center"/>
    </xf>
    <xf numFmtId="164" fontId="12" fillId="0" borderId="2" xfId="2" applyNumberFormat="1" applyFont="1" applyBorder="1" applyAlignment="1">
      <alignment horizontal="center"/>
    </xf>
    <xf numFmtId="164" fontId="14" fillId="0" borderId="2" xfId="2" applyNumberFormat="1" applyFont="1" applyBorder="1" applyAlignment="1">
      <alignment horizontal="center"/>
    </xf>
    <xf numFmtId="164" fontId="6" fillId="0" borderId="3" xfId="2" applyNumberFormat="1" applyFont="1" applyBorder="1" applyAlignment="1">
      <alignment horizontal="center"/>
    </xf>
    <xf numFmtId="38" fontId="10" fillId="0" borderId="20" xfId="0" applyNumberFormat="1" applyFont="1" applyBorder="1"/>
    <xf numFmtId="164" fontId="10" fillId="0" borderId="20" xfId="0" applyNumberFormat="1" applyFont="1" applyBorder="1" applyAlignment="1">
      <alignment horizontal="center"/>
    </xf>
    <xf numFmtId="164" fontId="6" fillId="0" borderId="20" xfId="2" applyNumberFormat="1" applyFont="1" applyBorder="1" applyAlignment="1">
      <alignment horizontal="center"/>
    </xf>
    <xf numFmtId="0" fontId="0" fillId="0" borderId="0" xfId="0" applyAlignment="1">
      <alignment horizontal="center"/>
    </xf>
    <xf numFmtId="0" fontId="0" fillId="0" borderId="2" xfId="0" applyBorder="1" applyAlignment="1">
      <alignment wrapText="1"/>
    </xf>
    <xf numFmtId="0" fontId="0" fillId="0" borderId="2" xfId="0" quotePrefix="1" applyBorder="1"/>
    <xf numFmtId="38" fontId="11" fillId="0" borderId="22" xfId="2" applyNumberFormat="1" applyFont="1" applyBorder="1"/>
    <xf numFmtId="164" fontId="6" fillId="0" borderId="23" xfId="2" applyNumberFormat="1" applyFont="1" applyBorder="1" applyAlignment="1">
      <alignment horizontal="center"/>
    </xf>
    <xf numFmtId="164" fontId="6" fillId="0" borderId="24" xfId="2" applyNumberFormat="1" applyFont="1" applyBorder="1" applyAlignment="1">
      <alignment horizontal="center"/>
    </xf>
    <xf numFmtId="164" fontId="12" fillId="0" borderId="24" xfId="2" applyNumberFormat="1" applyFont="1" applyBorder="1" applyAlignment="1">
      <alignment horizontal="center"/>
    </xf>
    <xf numFmtId="9" fontId="6" fillId="0" borderId="25" xfId="2" applyNumberFormat="1" applyFont="1" applyBorder="1" applyAlignment="1">
      <alignment horizontal="center"/>
    </xf>
    <xf numFmtId="38" fontId="11" fillId="0" borderId="21" xfId="2" applyNumberFormat="1" applyFont="1" applyBorder="1"/>
    <xf numFmtId="2" fontId="11" fillId="0" borderId="26" xfId="2" applyNumberFormat="1" applyFont="1" applyBorder="1" applyAlignment="1">
      <alignment horizontal="center"/>
    </xf>
    <xf numFmtId="2" fontId="11" fillId="0" borderId="20" xfId="2" applyNumberFormat="1" applyFont="1" applyBorder="1" applyAlignment="1">
      <alignment horizontal="center"/>
    </xf>
    <xf numFmtId="2" fontId="6" fillId="0" borderId="20" xfId="2" applyNumberFormat="1" applyFont="1" applyBorder="1" applyAlignment="1">
      <alignment horizontal="center"/>
    </xf>
    <xf numFmtId="2" fontId="6" fillId="0" borderId="27" xfId="2" applyNumberFormat="1" applyFont="1" applyBorder="1" applyAlignment="1">
      <alignment horizontal="center"/>
    </xf>
    <xf numFmtId="38" fontId="7" fillId="0" borderId="28" xfId="2" applyNumberFormat="1" applyFont="1" applyBorder="1"/>
    <xf numFmtId="9" fontId="6" fillId="0" borderId="9" xfId="2" applyNumberFormat="1" applyFont="1" applyBorder="1" applyAlignment="1">
      <alignment horizontal="center"/>
    </xf>
    <xf numFmtId="38" fontId="7" fillId="0" borderId="29" xfId="2" applyNumberFormat="1" applyFont="1" applyBorder="1"/>
    <xf numFmtId="38" fontId="7" fillId="0" borderId="30" xfId="2" applyNumberFormat="1" applyFont="1" applyBorder="1"/>
    <xf numFmtId="164" fontId="12" fillId="0" borderId="11" xfId="2" applyNumberFormat="1" applyFont="1" applyBorder="1" applyAlignment="1">
      <alignment horizontal="center"/>
    </xf>
    <xf numFmtId="164" fontId="12" fillId="0" borderId="8" xfId="2" applyNumberFormat="1" applyFont="1" applyBorder="1" applyAlignment="1">
      <alignment horizontal="center"/>
    </xf>
    <xf numFmtId="9" fontId="6" fillId="0" borderId="31" xfId="2" applyNumberFormat="1" applyFont="1" applyBorder="1" applyAlignment="1">
      <alignment horizontal="center"/>
    </xf>
    <xf numFmtId="4" fontId="20" fillId="0" borderId="8" xfId="0" applyNumberFormat="1" applyFont="1" applyBorder="1" applyAlignment="1">
      <alignment horizontal="center"/>
    </xf>
    <xf numFmtId="2" fontId="18" fillId="0" borderId="6" xfId="2" applyNumberFormat="1" applyFont="1" applyBorder="1" applyAlignment="1">
      <alignment horizontal="center"/>
    </xf>
    <xf numFmtId="164" fontId="18" fillId="0" borderId="9" xfId="2" applyNumberFormat="1" applyFont="1" applyBorder="1" applyAlignment="1">
      <alignment horizontal="center"/>
    </xf>
    <xf numFmtId="0" fontId="15" fillId="0" borderId="20" xfId="0" applyFont="1" applyBorder="1"/>
    <xf numFmtId="0" fontId="15" fillId="0" borderId="27" xfId="0" applyFont="1" applyBorder="1"/>
    <xf numFmtId="164" fontId="18" fillId="0" borderId="10" xfId="2" applyNumberFormat="1" applyFont="1" applyBorder="1" applyAlignment="1">
      <alignment horizontal="center"/>
    </xf>
    <xf numFmtId="164" fontId="0" fillId="0" borderId="6" xfId="0" applyNumberFormat="1" applyBorder="1"/>
    <xf numFmtId="0" fontId="15" fillId="0" borderId="35" xfId="0" applyFont="1" applyBorder="1"/>
    <xf numFmtId="164" fontId="0" fillId="0" borderId="36" xfId="0" applyNumberFormat="1" applyBorder="1"/>
    <xf numFmtId="164" fontId="0" fillId="0" borderId="37" xfId="0" applyNumberFormat="1" applyBorder="1"/>
    <xf numFmtId="0" fontId="15" fillId="0" borderId="34" xfId="0" applyFont="1" applyBorder="1"/>
    <xf numFmtId="164" fontId="0" fillId="0" borderId="38" xfId="0" applyNumberFormat="1" applyBorder="1"/>
    <xf numFmtId="164" fontId="0" fillId="0" borderId="33" xfId="0" applyNumberFormat="1" applyBorder="1"/>
    <xf numFmtId="2" fontId="18" fillId="0" borderId="7" xfId="2" applyNumberFormat="1" applyFont="1" applyBorder="1" applyAlignment="1">
      <alignment horizontal="center"/>
    </xf>
    <xf numFmtId="4" fontId="19" fillId="0" borderId="11" xfId="0" applyNumberFormat="1" applyFont="1" applyBorder="1" applyAlignment="1">
      <alignment horizontal="center"/>
    </xf>
    <xf numFmtId="38" fontId="17" fillId="0" borderId="30" xfId="2" applyNumberFormat="1" applyFont="1" applyBorder="1"/>
    <xf numFmtId="38" fontId="17" fillId="0" borderId="28" xfId="2" applyNumberFormat="1" applyFont="1" applyBorder="1"/>
    <xf numFmtId="0" fontId="0" fillId="0" borderId="34" xfId="0" applyBorder="1"/>
    <xf numFmtId="14" fontId="0" fillId="0" borderId="0" xfId="0" applyNumberFormat="1"/>
    <xf numFmtId="164" fontId="18" fillId="0" borderId="32" xfId="2" applyNumberFormat="1" applyFont="1" applyBorder="1" applyAlignment="1">
      <alignment horizontal="center"/>
    </xf>
    <xf numFmtId="164" fontId="18" fillId="0" borderId="40" xfId="2" applyNumberFormat="1" applyFont="1" applyBorder="1" applyAlignment="1">
      <alignment horizontal="center"/>
    </xf>
    <xf numFmtId="0" fontId="15" fillId="0" borderId="20" xfId="0" applyFont="1" applyBorder="1" applyAlignment="1">
      <alignment horizontal="center"/>
    </xf>
    <xf numFmtId="164" fontId="18" fillId="0" borderId="42" xfId="2" applyNumberFormat="1" applyFont="1" applyBorder="1" applyAlignment="1">
      <alignment horizontal="center"/>
    </xf>
    <xf numFmtId="164" fontId="18" fillId="0" borderId="43" xfId="2" applyNumberFormat="1" applyFont="1" applyBorder="1" applyAlignment="1">
      <alignment horizontal="center"/>
    </xf>
    <xf numFmtId="0" fontId="0" fillId="0" borderId="40" xfId="0" applyBorder="1"/>
    <xf numFmtId="0" fontId="41" fillId="0" borderId="0" xfId="0" applyFont="1"/>
    <xf numFmtId="0" fontId="0" fillId="0" borderId="44" xfId="0" applyBorder="1"/>
    <xf numFmtId="0" fontId="0" fillId="0" borderId="29" xfId="0" applyBorder="1"/>
    <xf numFmtId="0" fontId="15" fillId="0" borderId="34" xfId="0" applyFont="1" applyBorder="1" applyAlignment="1">
      <alignment horizontal="center"/>
    </xf>
    <xf numFmtId="0" fontId="15" fillId="0" borderId="27" xfId="0" applyFont="1" applyBorder="1" applyAlignment="1">
      <alignment horizontal="center"/>
    </xf>
    <xf numFmtId="164" fontId="0" fillId="0" borderId="7" xfId="0" applyNumberFormat="1" applyBorder="1"/>
    <xf numFmtId="164" fontId="0" fillId="0" borderId="9" xfId="0" applyNumberFormat="1" applyBorder="1"/>
    <xf numFmtId="164" fontId="0" fillId="0" borderId="4" xfId="0" applyNumberFormat="1" applyBorder="1"/>
    <xf numFmtId="164" fontId="0" fillId="0" borderId="3" xfId="0" applyNumberFormat="1" applyBorder="1"/>
    <xf numFmtId="164" fontId="0" fillId="0" borderId="12" xfId="0" applyNumberFormat="1" applyBorder="1"/>
    <xf numFmtId="164" fontId="0" fillId="0" borderId="39" xfId="0" applyNumberFormat="1" applyBorder="1"/>
    <xf numFmtId="164" fontId="0" fillId="0" borderId="41" xfId="0" applyNumberFormat="1" applyBorder="1"/>
    <xf numFmtId="0" fontId="15" fillId="0" borderId="0" xfId="0" applyFont="1" applyAlignment="1">
      <alignment horizontal="center" vertical="center"/>
    </xf>
    <xf numFmtId="14" fontId="22" fillId="0" borderId="0" xfId="2" applyNumberFormat="1" applyFont="1"/>
    <xf numFmtId="14" fontId="25" fillId="0" borderId="2" xfId="2" applyNumberFormat="1" applyFont="1" applyBorder="1"/>
    <xf numFmtId="14" fontId="26" fillId="0" borderId="2" xfId="2" applyNumberFormat="1" applyFont="1" applyBorder="1"/>
    <xf numFmtId="14" fontId="30" fillId="0" borderId="2" xfId="3" applyNumberFormat="1" applyFont="1" applyBorder="1"/>
    <xf numFmtId="14" fontId="13" fillId="0" borderId="0" xfId="3" applyNumberFormat="1"/>
    <xf numFmtId="14" fontId="7" fillId="0" borderId="0" xfId="3" applyNumberFormat="1" applyFont="1"/>
    <xf numFmtId="14" fontId="8" fillId="0" borderId="0" xfId="2" applyNumberFormat="1" applyFont="1"/>
    <xf numFmtId="0" fontId="41" fillId="0" borderId="0" xfId="0" applyFont="1" applyAlignment="1">
      <alignment wrapText="1"/>
    </xf>
    <xf numFmtId="0" fontId="16" fillId="0" borderId="0" xfId="0" applyFont="1" applyAlignment="1">
      <alignment wrapText="1"/>
    </xf>
    <xf numFmtId="0" fontId="0" fillId="0" borderId="40" xfId="0" applyBorder="1" applyAlignment="1">
      <alignment wrapText="1"/>
    </xf>
    <xf numFmtId="0" fontId="0" fillId="0" borderId="44" xfId="0" applyBorder="1" applyAlignment="1">
      <alignment wrapText="1"/>
    </xf>
    <xf numFmtId="2" fontId="19" fillId="0" borderId="21" xfId="2" applyNumberFormat="1" applyFont="1" applyBorder="1" applyAlignment="1">
      <alignment horizontal="center"/>
    </xf>
    <xf numFmtId="14" fontId="19" fillId="0" borderId="21" xfId="2" applyNumberFormat="1" applyFont="1" applyBorder="1" applyAlignment="1">
      <alignment horizontal="center"/>
    </xf>
    <xf numFmtId="164" fontId="0" fillId="0" borderId="44" xfId="0" applyNumberFormat="1" applyBorder="1" applyAlignment="1">
      <alignment horizontal="center"/>
    </xf>
    <xf numFmtId="0" fontId="20" fillId="0" borderId="40" xfId="0" applyFont="1" applyBorder="1"/>
    <xf numFmtId="0" fontId="42" fillId="0" borderId="26" xfId="0" applyFont="1" applyBorder="1" applyAlignment="1">
      <alignment horizontal="center"/>
    </xf>
    <xf numFmtId="0" fontId="42" fillId="0" borderId="45" xfId="0" applyFont="1" applyBorder="1" applyAlignment="1">
      <alignment horizontal="center"/>
    </xf>
    <xf numFmtId="0" fontId="20" fillId="0" borderId="28" xfId="0" applyFont="1" applyBorder="1"/>
    <xf numFmtId="164" fontId="20" fillId="0" borderId="7" xfId="0" applyNumberFormat="1" applyFont="1" applyBorder="1"/>
    <xf numFmtId="164" fontId="20" fillId="0" borderId="46" xfId="0" applyNumberFormat="1" applyFont="1" applyBorder="1"/>
    <xf numFmtId="0" fontId="20" fillId="0" borderId="44" xfId="0" applyFont="1" applyBorder="1"/>
    <xf numFmtId="164" fontId="20" fillId="0" borderId="14" xfId="0" applyNumberFormat="1" applyFont="1" applyBorder="1"/>
    <xf numFmtId="164" fontId="20" fillId="0" borderId="47" xfId="0" applyNumberFormat="1" applyFont="1" applyBorder="1"/>
    <xf numFmtId="0" fontId="2" fillId="2" borderId="1" xfId="1"/>
    <xf numFmtId="0" fontId="0" fillId="0" borderId="48" xfId="0" applyBorder="1"/>
    <xf numFmtId="0" fontId="0" fillId="0" borderId="46" xfId="0" applyBorder="1"/>
    <xf numFmtId="0" fontId="15" fillId="0" borderId="49" xfId="0" applyFont="1" applyBorder="1" applyAlignment="1">
      <alignment horizontal="center"/>
    </xf>
    <xf numFmtId="0" fontId="15" fillId="0" borderId="50" xfId="0" applyFont="1" applyBorder="1" applyAlignment="1">
      <alignment horizontal="center"/>
    </xf>
    <xf numFmtId="0" fontId="15" fillId="0" borderId="31" xfId="0" applyFont="1" applyBorder="1" applyAlignment="1">
      <alignment horizontal="center"/>
    </xf>
    <xf numFmtId="164" fontId="0" fillId="0" borderId="0" xfId="0" applyNumberFormat="1"/>
    <xf numFmtId="0" fontId="0" fillId="0" borderId="53" xfId="0" applyBorder="1"/>
    <xf numFmtId="0" fontId="0" fillId="0" borderId="48" xfId="0" applyBorder="1" applyAlignment="1">
      <alignment wrapText="1"/>
    </xf>
    <xf numFmtId="0" fontId="15" fillId="0" borderId="54" xfId="0" applyFont="1" applyBorder="1" applyAlignment="1">
      <alignment horizontal="center"/>
    </xf>
    <xf numFmtId="0" fontId="0" fillId="0" borderId="55" xfId="0" applyBorder="1" applyAlignment="1">
      <alignment wrapText="1"/>
    </xf>
    <xf numFmtId="164" fontId="0" fillId="0" borderId="56" xfId="0" applyNumberFormat="1" applyBorder="1"/>
    <xf numFmtId="164" fontId="0" fillId="0" borderId="13" xfId="0" applyNumberFormat="1" applyBorder="1"/>
    <xf numFmtId="164" fontId="0" fillId="0" borderId="25" xfId="0" applyNumberFormat="1" applyBorder="1"/>
    <xf numFmtId="0" fontId="0" fillId="0" borderId="57" xfId="0" applyBorder="1" applyAlignment="1">
      <alignment wrapText="1"/>
    </xf>
    <xf numFmtId="0" fontId="0" fillId="0" borderId="46" xfId="0" applyBorder="1" applyAlignment="1">
      <alignment wrapText="1"/>
    </xf>
    <xf numFmtId="0" fontId="43" fillId="4" borderId="1" xfId="0" applyFont="1" applyFill="1" applyBorder="1"/>
    <xf numFmtId="0" fontId="43" fillId="4" borderId="59" xfId="0" applyFont="1" applyFill="1" applyBorder="1"/>
    <xf numFmtId="0" fontId="0" fillId="0" borderId="49" xfId="0" applyBorder="1"/>
    <xf numFmtId="0" fontId="40" fillId="0" borderId="50" xfId="0" applyFont="1" applyBorder="1" applyAlignment="1">
      <alignment horizontal="center"/>
    </xf>
    <xf numFmtId="4" fontId="15" fillId="0" borderId="31" xfId="0" applyNumberFormat="1" applyFont="1" applyBorder="1" applyAlignment="1">
      <alignment horizontal="center"/>
    </xf>
    <xf numFmtId="0" fontId="17" fillId="0" borderId="58" xfId="0" applyFont="1" applyBorder="1"/>
    <xf numFmtId="164" fontId="18" fillId="0" borderId="58" xfId="0" applyNumberFormat="1" applyFont="1" applyBorder="1" applyAlignment="1">
      <alignment horizontal="center"/>
    </xf>
    <xf numFmtId="14" fontId="17" fillId="0" borderId="52" xfId="2" applyNumberFormat="1" applyFont="1" applyBorder="1"/>
    <xf numFmtId="14" fontId="17" fillId="0" borderId="48" xfId="2" applyNumberFormat="1" applyFont="1" applyBorder="1"/>
    <xf numFmtId="14" fontId="17" fillId="0" borderId="53" xfId="2" applyNumberFormat="1" applyFont="1" applyBorder="1"/>
    <xf numFmtId="0" fontId="0" fillId="0" borderId="60" xfId="0" applyBorder="1"/>
    <xf numFmtId="4" fontId="15" fillId="0" borderId="54" xfId="0" applyNumberFormat="1" applyFont="1" applyBorder="1" applyAlignment="1">
      <alignment horizontal="center"/>
    </xf>
    <xf numFmtId="0" fontId="17" fillId="0" borderId="57" xfId="0" applyFont="1" applyBorder="1"/>
    <xf numFmtId="164" fontId="18" fillId="0" borderId="51" xfId="0" applyNumberFormat="1" applyFont="1" applyBorder="1" applyAlignment="1">
      <alignment horizontal="center"/>
    </xf>
    <xf numFmtId="38" fontId="7" fillId="0" borderId="46" xfId="2" applyNumberFormat="1" applyFont="1" applyBorder="1"/>
    <xf numFmtId="38" fontId="7" fillId="0" borderId="48" xfId="2" applyNumberFormat="1" applyFont="1" applyBorder="1"/>
    <xf numFmtId="9" fontId="6" fillId="0" borderId="36" xfId="2" applyNumberFormat="1" applyFont="1" applyBorder="1" applyAlignment="1">
      <alignment horizontal="center"/>
    </xf>
    <xf numFmtId="38" fontId="11" fillId="0" borderId="61" xfId="2" applyNumberFormat="1" applyFont="1" applyBorder="1"/>
    <xf numFmtId="2" fontId="11" fillId="0" borderId="60" xfId="2" applyNumberFormat="1" applyFont="1" applyBorder="1" applyAlignment="1">
      <alignment horizontal="center"/>
    </xf>
    <xf numFmtId="2" fontId="11" fillId="0" borderId="50" xfId="2" applyNumberFormat="1" applyFont="1" applyBorder="1" applyAlignment="1">
      <alignment horizontal="center"/>
    </xf>
    <xf numFmtId="2" fontId="6" fillId="0" borderId="50" xfId="2" applyNumberFormat="1" applyFont="1" applyBorder="1" applyAlignment="1">
      <alignment horizontal="center"/>
    </xf>
    <xf numFmtId="2" fontId="6" fillId="0" borderId="54" xfId="2" applyNumberFormat="1" applyFont="1" applyBorder="1" applyAlignment="1">
      <alignment horizontal="center"/>
    </xf>
    <xf numFmtId="38" fontId="7" fillId="0" borderId="55" xfId="2" applyNumberFormat="1" applyFont="1" applyBorder="1"/>
    <xf numFmtId="164" fontId="12" fillId="0" borderId="4" xfId="2" applyNumberFormat="1" applyFont="1" applyBorder="1" applyAlignment="1">
      <alignment horizontal="center"/>
    </xf>
    <xf numFmtId="164" fontId="12" fillId="0" borderId="3" xfId="2" applyNumberFormat="1" applyFont="1" applyBorder="1" applyAlignment="1">
      <alignment horizontal="center"/>
    </xf>
    <xf numFmtId="0" fontId="7" fillId="0" borderId="57" xfId="0" applyFont="1" applyBorder="1"/>
    <xf numFmtId="9" fontId="6" fillId="0" borderId="25" xfId="0" applyNumberFormat="1" applyFont="1" applyBorder="1" applyAlignment="1">
      <alignment horizontal="center"/>
    </xf>
    <xf numFmtId="0" fontId="0" fillId="0" borderId="62" xfId="0" applyBorder="1"/>
    <xf numFmtId="0" fontId="2" fillId="2" borderId="1" xfId="1" applyAlignment="1">
      <alignment wrapText="1"/>
    </xf>
    <xf numFmtId="164" fontId="12" fillId="0" borderId="56" xfId="0" applyNumberFormat="1" applyFont="1" applyBorder="1" applyAlignment="1">
      <alignment horizontal="center"/>
    </xf>
    <xf numFmtId="38" fontId="7" fillId="0" borderId="3" xfId="2" applyNumberFormat="1" applyFont="1" applyBorder="1"/>
    <xf numFmtId="164" fontId="7" fillId="0" borderId="4" xfId="2" applyNumberFormat="1" applyFont="1" applyBorder="1" applyAlignment="1">
      <alignment horizontal="center"/>
    </xf>
    <xf numFmtId="14" fontId="17" fillId="0" borderId="42" xfId="2" applyNumberFormat="1" applyFont="1" applyBorder="1"/>
    <xf numFmtId="14" fontId="17" fillId="0" borderId="63" xfId="2" applyNumberFormat="1" applyFont="1" applyBorder="1"/>
    <xf numFmtId="14" fontId="17" fillId="0" borderId="62" xfId="2" applyNumberFormat="1" applyFont="1" applyBorder="1"/>
    <xf numFmtId="14" fontId="17" fillId="0" borderId="0" xfId="2" applyNumberFormat="1" applyFont="1"/>
    <xf numFmtId="0" fontId="0" fillId="0" borderId="62" xfId="0" applyBorder="1" applyAlignment="1">
      <alignment wrapText="1"/>
    </xf>
    <xf numFmtId="0" fontId="0" fillId="0" borderId="64" xfId="0" applyBorder="1"/>
    <xf numFmtId="0" fontId="44" fillId="0" borderId="54" xfId="0" applyFont="1" applyBorder="1" applyAlignment="1">
      <alignment horizontal="center"/>
    </xf>
    <xf numFmtId="164" fontId="0" fillId="0" borderId="36" xfId="0" applyNumberFormat="1" applyBorder="1" applyAlignment="1">
      <alignment horizontal="center"/>
    </xf>
    <xf numFmtId="164" fontId="0" fillId="0" borderId="25" xfId="0" applyNumberFormat="1" applyBorder="1" applyAlignment="1">
      <alignment horizontal="center"/>
    </xf>
    <xf numFmtId="164" fontId="0" fillId="0" borderId="0" xfId="0" applyNumberFormat="1" applyAlignment="1">
      <alignment horizontal="center"/>
    </xf>
    <xf numFmtId="164" fontId="0" fillId="0" borderId="39" xfId="0" applyNumberFormat="1" applyBorder="1" applyAlignment="1">
      <alignment horizontal="center"/>
    </xf>
    <xf numFmtId="164" fontId="0" fillId="0" borderId="9" xfId="0" applyNumberFormat="1" applyBorder="1" applyAlignment="1">
      <alignment horizontal="right"/>
    </xf>
    <xf numFmtId="164" fontId="0" fillId="0" borderId="39" xfId="0" applyNumberFormat="1" applyBorder="1" applyAlignment="1">
      <alignment horizontal="right"/>
    </xf>
    <xf numFmtId="0" fontId="0" fillId="0" borderId="0" xfId="0" applyAlignment="1">
      <alignment horizontal="center" wrapText="1"/>
    </xf>
    <xf numFmtId="0" fontId="0" fillId="0" borderId="50" xfId="0" applyBorder="1" applyAlignment="1">
      <alignment horizontal="center"/>
    </xf>
    <xf numFmtId="164" fontId="18" fillId="0" borderId="65" xfId="2" applyNumberFormat="1" applyFont="1" applyBorder="1" applyAlignment="1">
      <alignment horizontal="center"/>
    </xf>
    <xf numFmtId="4" fontId="44" fillId="0" borderId="54" xfId="0" applyNumberFormat="1" applyFont="1" applyBorder="1" applyAlignment="1">
      <alignment horizontal="center"/>
    </xf>
    <xf numFmtId="2" fontId="45" fillId="0" borderId="2" xfId="2" applyNumberFormat="1" applyFont="1" applyBorder="1" applyAlignment="1">
      <alignment horizontal="center"/>
    </xf>
    <xf numFmtId="0" fontId="0" fillId="0" borderId="51" xfId="0" applyBorder="1"/>
    <xf numFmtId="14" fontId="17" fillId="0" borderId="66" xfId="2" applyNumberFormat="1" applyFont="1" applyBorder="1"/>
    <xf numFmtId="14" fontId="7" fillId="0" borderId="2" xfId="2" applyNumberFormat="1" applyFont="1" applyBorder="1"/>
    <xf numFmtId="14" fontId="12" fillId="0" borderId="2" xfId="4" applyNumberFormat="1" applyFont="1" applyBorder="1"/>
    <xf numFmtId="44" fontId="39" fillId="0" borderId="2" xfId="5" applyFont="1" applyBorder="1"/>
    <xf numFmtId="0" fontId="0" fillId="0" borderId="0" xfId="0" applyAlignment="1">
      <alignment horizontal="left" vertical="top" wrapText="1"/>
    </xf>
  </cellXfs>
  <cellStyles count="6">
    <cellStyle name="Check Cell" xfId="1" builtinId="23"/>
    <cellStyle name="Currency" xfId="5" builtinId="4"/>
    <cellStyle name="Normal" xfId="0" builtinId="0"/>
    <cellStyle name="Normal 2" xfId="2" xr:uid="{B33A3E9F-3299-5149-9AC7-E61586C27BEE}"/>
    <cellStyle name="Normal 3" xfId="3" xr:uid="{2D873CB6-6FC6-8A4C-BE1C-2541A7D1FD27}"/>
    <cellStyle name="Normal 3 2" xfId="4" xr:uid="{EC21E1C1-3193-C842-B7C7-325081ABACCC}"/>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Calibri"/>
        <family val="2"/>
        <scheme val="none"/>
      </font>
      <numFmt numFmtId="166" formatCode="#,##0_);[Red]\(#,##0\)"/>
      <border diagonalUp="0" diagonalDown="0">
        <left style="thin">
          <color indexed="64"/>
        </left>
        <right style="thin">
          <color indexed="64"/>
        </right>
        <top style="thin">
          <color indexed="64"/>
        </top>
        <bottom style="thin">
          <color indexed="64"/>
        </bottom>
        <vertical/>
        <horizontal/>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outline="0">
        <left/>
        <right style="slantDashDot">
          <color indexed="64"/>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alignment horizontal="center" vertical="bottom" textRotation="0" wrapText="0" indent="0" justifyLastLine="0" shrinkToFit="0" readingOrder="0"/>
      <border diagonalUp="0" diagonalDown="0" outline="0">
        <left style="thin">
          <color indexed="64"/>
        </left>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outline="0">
        <left style="thin">
          <color indexed="64"/>
        </left>
        <right style="thin">
          <color indexed="64"/>
        </right>
        <top/>
        <bottom style="thin">
          <color indexed="64"/>
        </bottom>
      </border>
    </dxf>
    <dxf>
      <numFmt numFmtId="164" formatCode="&quot;£&quot;#,##0.00"/>
      <border diagonalUp="0" diagonalDown="0" outline="0">
        <left style="thin">
          <color indexed="64"/>
        </left>
        <right style="slantDashDot">
          <color indexed="64"/>
        </right>
        <top/>
        <bottom/>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top/>
        <bottom/>
      </border>
    </dxf>
    <dxf>
      <numFmt numFmtId="164" formatCode="&quot;£&quot;#,##0.00"/>
    </dxf>
    <dxf>
      <numFmt numFmtId="164" formatCode="&quot;£&quot;#,##0.00"/>
      <border diagonalUp="0" diagonalDown="0" outline="0">
        <left style="thin">
          <color indexed="64"/>
        </left>
        <right/>
        <top/>
        <bottom/>
      </border>
    </dxf>
    <dxf>
      <numFmt numFmtId="164" formatCode="&quot;£&quot;#,##0.00"/>
      <alignment horizontal="center" vertical="bottom" textRotation="0" wrapText="0" indent="0" justifyLastLine="0" shrinkToFit="0" readingOrder="0"/>
      <border diagonalUp="0" diagonalDown="0" outline="0">
        <left style="thin">
          <color indexed="64"/>
        </left>
        <right/>
        <top/>
        <bottom/>
      </border>
    </dxf>
    <dxf>
      <numFmt numFmtId="164" formatCode="&quot;£&quot;#,##0.00"/>
      <border diagonalUp="0" diagonalDown="0" outline="0">
        <left style="thin">
          <color indexed="64"/>
        </left>
        <right/>
        <top/>
        <bottom/>
      </border>
    </dxf>
    <dxf>
      <numFmt numFmtId="164" formatCode="&quot;£&quot;#,##0.00"/>
      <border diagonalUp="0" diagonalDown="0" outline="0">
        <left style="thin">
          <color indexed="64"/>
        </left>
        <right style="thin">
          <color indexed="64"/>
        </right>
        <top/>
        <bottom/>
      </border>
    </dxf>
    <dxf>
      <numFmt numFmtId="164" formatCode="&quot;£&quot;#,##0.00"/>
      <border diagonalUp="0" diagonalDown="0" outline="0">
        <left style="thin">
          <color indexed="64"/>
        </left>
        <right/>
        <top/>
        <bottom/>
      </border>
    </dxf>
    <dxf>
      <numFmt numFmtId="164" formatCode="&quot;£&quot;#,##0.00"/>
      <border diagonalUp="0" diagonalDown="0">
        <left/>
        <right style="thin">
          <color indexed="64"/>
        </right>
        <top/>
        <bottom/>
        <vertical/>
        <horizontal/>
      </border>
    </dxf>
    <dxf>
      <alignment horizontal="general" vertical="bottom" textRotation="0" wrapText="1" indent="0" justifyLastLine="0" shrinkToFit="0" readingOrder="0"/>
      <border diagonalUp="0" diagonalDown="0" outline="0">
        <left/>
        <right style="slantDashDot">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style="slantDashDot">
          <color indexed="64"/>
        </right>
        <top/>
        <bottom/>
      </border>
    </dxf>
    <dxf>
      <alignment horizontal="general" vertical="bottom" textRotation="0" wrapText="1" indent="0" justifyLastLine="0" shrinkToFit="0" readingOrder="0"/>
      <border diagonalUp="0" diagonalDown="0" outline="0">
        <left/>
        <right style="slantDashDot">
          <color indexed="64"/>
        </right>
        <top style="thin">
          <color indexed="64"/>
        </top>
        <bottom/>
      </border>
    </dxf>
    <dxf>
      <border outline="0">
        <left style="slantDashDot">
          <color indexed="64"/>
        </left>
        <right style="slantDashDot">
          <color indexed="64"/>
        </right>
        <top style="slantDashDot">
          <color indexed="64"/>
        </top>
        <bottom style="thin">
          <color indexed="64"/>
        </bottom>
      </border>
    </dxf>
    <dxf>
      <numFmt numFmtId="164" formatCode="&quot;£&quot;#,##0.00"/>
      <border diagonalUp="0" diagonalDown="0" outline="0">
        <left style="thin">
          <color indexed="64"/>
        </left>
        <right/>
        <top/>
        <bottom/>
      </border>
    </dxf>
    <dxf>
      <numFmt numFmtId="164" formatCode="&quot;£&quot;#,##0.00"/>
    </dxf>
    <dxf>
      <numFmt numFmtId="164" formatCode="&quot;£&quot;#,##0.00"/>
      <border diagonalUp="0" diagonalDown="0" outline="0">
        <left style="thin">
          <color indexed="64"/>
        </left>
        <right/>
        <top/>
        <bottom/>
      </border>
    </dxf>
    <dxf>
      <numFmt numFmtId="164" formatCode="&quot;£&quot;#,##0.00"/>
      <alignment horizontal="center" vertical="bottom" textRotation="0" wrapText="0" indent="0" justifyLastLine="0" shrinkToFit="0" readingOrder="0"/>
      <border diagonalUp="0" diagonalDown="0" outline="0">
        <left style="thin">
          <color indexed="64"/>
        </left>
        <right/>
        <top/>
        <bottom/>
      </border>
    </dxf>
    <dxf>
      <numFmt numFmtId="164" formatCode="&quot;£&quot;#,##0.00"/>
      <border diagonalUp="0" diagonalDown="0" outline="0">
        <left style="thin">
          <color indexed="64"/>
        </left>
        <right/>
        <top/>
        <bottom/>
      </border>
    </dxf>
    <dxf>
      <numFmt numFmtId="164" formatCode="&quot;£&quot;#,##0.00"/>
      <border diagonalUp="0" diagonalDown="0" outline="0">
        <left style="thin">
          <color indexed="64"/>
        </left>
        <right style="thin">
          <color indexed="64"/>
        </right>
        <top/>
        <bottom/>
      </border>
    </dxf>
    <dxf>
      <numFmt numFmtId="164" formatCode="&quot;£&quot;#,##0.00"/>
      <border diagonalUp="0" diagonalDown="0" outline="0">
        <left style="thin">
          <color indexed="64"/>
        </left>
        <right/>
        <top/>
        <bottom/>
      </border>
    </dxf>
    <dxf>
      <numFmt numFmtId="164" formatCode="&quot;£&quot;#,##0.00"/>
      <border diagonalUp="0" diagonalDown="0">
        <left/>
        <right style="thin">
          <color indexed="64"/>
        </right>
        <top/>
        <bottom/>
        <vertical/>
        <horizontal/>
      </border>
    </dxf>
    <dxf>
      <alignment horizontal="general" vertical="bottom" textRotation="0" wrapText="1" indent="0" justifyLastLine="0" shrinkToFit="0" readingOrder="0"/>
      <border diagonalUp="0" diagonalDown="0" outline="0">
        <left/>
        <right style="slantDashDot">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right style="slantDashDot">
          <color indexed="64"/>
        </right>
        <top/>
        <bottom/>
      </border>
    </dxf>
    <dxf>
      <alignment horizontal="general" vertical="bottom" textRotation="0" wrapText="1" indent="0" justifyLastLine="0" shrinkToFit="0" readingOrder="0"/>
      <border diagonalUp="0" diagonalDown="0" outline="0">
        <left/>
        <right style="slantDashDot">
          <color indexed="64"/>
        </right>
        <top style="thin">
          <color indexed="64"/>
        </top>
        <bottom/>
      </border>
    </dxf>
    <dxf>
      <border outline="0">
        <left style="slantDashDot">
          <color indexed="64"/>
        </left>
        <right style="slantDashDot">
          <color indexed="64"/>
        </right>
        <top style="slantDashDot">
          <color indexed="64"/>
        </top>
        <bottom style="thin">
          <color indexed="64"/>
        </bottom>
      </border>
    </dxf>
    <dxf>
      <numFmt numFmtId="164" formatCode="&quot;£&quot;#,##0.00"/>
    </dxf>
    <dxf>
      <numFmt numFmtId="164" formatCode="&quot;£&quot;#,##0.00"/>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border diagonalUp="0" diagonalDown="0" outline="0">
        <left style="thin">
          <color indexed="64"/>
        </left>
        <right/>
        <top/>
        <bottom style="thin">
          <color indexed="64"/>
        </bottom>
      </border>
    </dxf>
    <dxf>
      <numFmt numFmtId="164" formatCode="&quot;£&quot;#,##0.00"/>
    </dxf>
    <dxf>
      <numFmt numFmtId="164" formatCode="&quot;£&quot;#,##0.00"/>
    </dxf>
    <dxf>
      <border outline="0">
        <left style="slantDashDot">
          <color indexed="64"/>
        </left>
        <top style="slantDashDot">
          <color indexed="64"/>
        </top>
        <bottom style="thick">
          <color indexed="64"/>
        </bottom>
      </border>
    </dxf>
    <dxf>
      <numFmt numFmtId="164" formatCode="&quot;£&quot;#,##0.00"/>
      <alignment horizontal="right" vertical="bottom" textRotation="0" wrapText="0" indent="0" justifyLastLine="0" shrinkToFit="0" readingOrder="0"/>
      <border diagonalUp="0" diagonalDown="0" outline="0">
        <left style="thin">
          <color indexed="64"/>
        </left>
        <right style="slantDashDot">
          <color indexed="64"/>
        </right>
        <top/>
        <bottom/>
      </border>
    </dxf>
    <dxf>
      <numFmt numFmtId="164" formatCode="&quot;£&quot;#,##0.00"/>
      <alignment horizontal="right" vertical="bottom" textRotation="0" wrapText="0" indent="0" justifyLastLine="0" shrinkToFit="0" readingOrder="0"/>
      <border diagonalUp="0" diagonalDown="0" outline="0">
        <left style="thin">
          <color indexed="64"/>
        </left>
        <right style="slantDashDot">
          <color indexed="64"/>
        </right>
        <top/>
        <bottom style="thin">
          <color indexed="64"/>
        </bottom>
      </border>
    </dxf>
    <dxf>
      <numFmt numFmtId="164" formatCode="&quot;£&quot;#,##0.00"/>
      <alignment horizontal="center" vertical="bottom" textRotation="0" wrapText="0" indent="0" justifyLastLine="0" shrinkToFit="0" readingOrder="0"/>
      <border diagonalUp="0" diagonalDown="0" outline="0">
        <left style="thin">
          <color indexed="64"/>
        </left>
        <right style="slantDashDot">
          <color indexed="64"/>
        </right>
        <top/>
        <bottom/>
      </border>
    </dxf>
    <dxf>
      <numFmt numFmtId="164" formatCode="&quot;£&quot;#,##0.00"/>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diagonalUp="0" diagonalDown="0">
        <left/>
        <right/>
        <top/>
        <bottom style="thin">
          <color indexed="64"/>
        </bottom>
        <vertical/>
        <horizontal/>
      </border>
    </dxf>
    <dxf>
      <border outline="0">
        <left style="slantDashDot">
          <color indexed="64"/>
        </left>
        <top style="slantDashDot">
          <color indexed="64"/>
        </top>
        <bottom style="thick">
          <color indexed="64"/>
        </bottom>
      </border>
    </dxf>
    <dxf>
      <numFmt numFmtId="164" formatCode="&quot;£&quot;#,##0.00"/>
      <alignment horizontal="right" vertical="bottom" textRotation="0" wrapText="0" indent="0" justifyLastLine="0" shrinkToFit="0" readingOrder="0"/>
      <border diagonalUp="0" diagonalDown="0" outline="0">
        <left style="thin">
          <color indexed="64"/>
        </left>
        <right style="slantDashDot">
          <color indexed="64"/>
        </right>
        <top/>
        <bottom/>
      </border>
    </dxf>
    <dxf>
      <numFmt numFmtId="164" formatCode="&quot;£&quot;#,##0.00"/>
      <alignment horizontal="right" vertical="bottom" textRotation="0" wrapText="0" indent="0" justifyLastLine="0" shrinkToFit="0" readingOrder="0"/>
      <border diagonalUp="0" diagonalDown="0" outline="0">
        <left style="thin">
          <color indexed="64"/>
        </left>
        <right style="slantDashDot">
          <color indexed="64"/>
        </right>
        <top/>
        <bottom style="thin">
          <color indexed="64"/>
        </bottom>
      </border>
    </dxf>
    <dxf>
      <numFmt numFmtId="164" formatCode="&quot;£&quot;#,##0.00"/>
      <alignment horizontal="center" vertical="bottom" textRotation="0" wrapText="0" indent="0" justifyLastLine="0" shrinkToFit="0" readingOrder="0"/>
      <border diagonalUp="0" diagonalDown="0" outline="0">
        <left style="thin">
          <color indexed="64"/>
        </left>
        <right style="slantDashDot">
          <color indexed="64"/>
        </right>
        <top/>
        <bottom/>
      </border>
    </dxf>
    <dxf>
      <numFmt numFmtId="164" formatCode="&quot;£&quot;#,##0.00"/>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thin">
          <color indexed="64"/>
        </right>
        <top/>
        <bottom style="thin">
          <color indexed="64"/>
        </bottom>
        <vertical/>
        <horizontal/>
      </border>
    </dxf>
    <dxf>
      <numFmt numFmtId="164" formatCode="&quot;£&quot;#,##0.00"/>
      <border diagonalUp="0" diagonalDown="0" outline="0">
        <left style="thin">
          <color indexed="64"/>
        </left>
        <right style="slantDashDot">
          <color indexed="64"/>
        </right>
        <top/>
        <bottom/>
      </border>
    </dxf>
    <dxf>
      <border diagonalUp="0" diagonalDown="0" outline="0">
        <left style="slantDashDot">
          <color indexed="64"/>
        </left>
        <right/>
        <top/>
        <bottom style="thin">
          <color indexed="64"/>
        </bottom>
      </border>
    </dxf>
    <dxf>
      <alignment horizontal="general" vertical="bottom" textRotation="0" wrapText="1" indent="0" justifyLastLine="0" shrinkToFit="0" readingOrder="0"/>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dxf>
    <dxf>
      <numFmt numFmtId="164" formatCode="&quot;£&quot;#,##0.00"/>
      <border diagonalUp="0" diagonalDown="0">
        <left style="thin">
          <color indexed="64"/>
        </left>
        <right/>
        <top/>
        <bottom style="thin">
          <color indexed="64"/>
        </bottom>
        <vertical/>
        <horizontal/>
      </border>
    </dxf>
    <dxf>
      <numFmt numFmtId="164" formatCode="&quot;£&quot;#,##0.00"/>
    </dxf>
    <dxf>
      <numFmt numFmtId="164" formatCode="&quot;£&quot;#,##0.00"/>
      <border diagonalUp="0" diagonalDown="0">
        <left style="thin">
          <color indexed="64"/>
        </left>
        <right style="thin">
          <color indexed="64"/>
        </right>
        <top/>
        <bottom style="thin">
          <color indexed="64"/>
        </bottom>
        <vertical/>
        <horizontal/>
      </border>
    </dxf>
    <dxf>
      <numFmt numFmtId="164" formatCode="&quot;£&quot;#,##0.00"/>
    </dxf>
    <dxf>
      <border diagonalUp="0" diagonalDown="0">
        <left/>
        <right/>
        <top/>
        <bottom style="thin">
          <color indexed="64"/>
        </bottom>
        <vertical/>
        <horizontal/>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left style="thin">
          <color indexed="64"/>
        </left>
        <right style="slantDashDot">
          <color indexed="64"/>
        </right>
        <top/>
        <bottom style="thin">
          <color indexed="64"/>
        </bottom>
        <vertical/>
        <horizontal/>
      </border>
    </dxf>
    <dxf>
      <numFmt numFmtId="164" formatCode="&quot;£&quot;#,##0.00"/>
    </dxf>
    <dxf>
      <numFmt numFmtId="164" formatCode="&quot;£&quot;#,##0.00"/>
      <border diagonalUp="0" diagonalDown="0">
        <left style="thin">
          <color indexed="64"/>
        </left>
        <right/>
        <top/>
        <bottom style="thin">
          <color indexed="64"/>
        </bottom>
        <vertical/>
        <horizontal/>
      </border>
    </dxf>
    <dxf>
      <numFmt numFmtId="164" formatCode="&quot;£&quot;#,##0.00"/>
    </dxf>
    <dxf>
      <numFmt numFmtId="164" formatCode="&quot;£&quot;#,##0.00"/>
      <border diagonalUp="0" diagonalDown="0">
        <left style="thin">
          <color indexed="64"/>
        </left>
        <right style="thin">
          <color indexed="64"/>
        </right>
        <top/>
        <bottom style="thin">
          <color indexed="64"/>
        </bottom>
        <vertical/>
        <horizontal/>
      </border>
    </dxf>
    <dxf>
      <numFmt numFmtId="164" formatCode="&quot;£&quot;#,##0.00"/>
    </dxf>
    <dxf>
      <numFmt numFmtId="164" formatCode="&quot;£&quot;#,##0.00"/>
      <border diagonalUp="0" diagonalDown="0">
        <left/>
        <right style="thin">
          <color indexed="64"/>
        </right>
        <top/>
        <bottom style="thin">
          <color indexed="64"/>
        </bottom>
        <vertical/>
        <horizontal/>
      </border>
    </dxf>
    <dxf>
      <border diagonalUp="0" diagonalDown="0">
        <left/>
        <right/>
        <top/>
        <bottom style="thin">
          <color indexed="64"/>
        </bottom>
        <vertical/>
        <horizontal/>
      </border>
    </dxf>
    <dxf>
      <border outline="0">
        <left style="slantDashDot">
          <color indexed="64"/>
        </left>
        <top style="slantDashDot">
          <color indexed="64"/>
        </top>
        <bottom style="thick">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outline="0">
        <left/>
        <right style="slantDashDot">
          <color indexed="64"/>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alignment horizontal="center" vertical="bottom" textRotation="0" wrapText="0" indent="0" justifyLastLine="0" shrinkToFit="0" readingOrder="0"/>
      <border diagonalUp="0" diagonalDown="0" outline="0">
        <left style="thin">
          <color indexed="64"/>
        </left>
        <right/>
        <top/>
        <bottom style="thin">
          <color indexed="64"/>
        </bottom>
      </border>
    </dxf>
    <dxf>
      <numFmt numFmtId="164" formatCode="&quot;£&quot;#,##0.00"/>
      <border diagonalUp="0" diagonalDown="0" outline="0">
        <left style="thin">
          <color indexed="64"/>
        </left>
        <right style="slantDashDot">
          <color indexed="64"/>
        </right>
        <top/>
        <bottom/>
      </border>
    </dxf>
    <dxf>
      <numFmt numFmtId="164" formatCode="&quot;£&quot;#,##0.00"/>
      <border diagonalUp="0" diagonalDown="0" outline="0">
        <left style="thin">
          <color indexed="64"/>
        </left>
        <right style="thin">
          <color indexed="64"/>
        </right>
        <top/>
        <bottom style="thin">
          <color indexed="64"/>
        </bottom>
      </border>
    </dxf>
    <dxf>
      <numFmt numFmtId="164" formatCode="&quot;£&quot;#,##0.00"/>
      <border diagonalUp="0" diagonalDown="0" outline="0">
        <left style="thin">
          <color indexed="64"/>
        </left>
        <right style="slantDashDot">
          <color indexed="64"/>
        </right>
        <top/>
        <bottom/>
      </border>
    </dxf>
    <dxf>
      <alignment horizontal="general" vertical="bottom" textRotation="0" wrapText="1" indent="0" justifyLastLine="0" shrinkToFit="0" readingOrder="0"/>
      <border diagonalUp="0" diagonalDown="0">
        <left/>
        <right/>
        <top/>
        <bottom style="thin">
          <color indexed="64"/>
        </bottom>
        <vertical/>
        <horizontal/>
      </border>
    </dxf>
    <dxf>
      <border outline="0">
        <left style="slantDashDot">
          <color indexed="64"/>
        </left>
        <top style="slantDashDot">
          <color indexed="64"/>
        </top>
        <bottom style="thick">
          <color indexed="64"/>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top style="slantDashDot">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top style="slantDashDot">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top style="slantDashDot">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style="thin">
          <color indexed="64"/>
        </right>
        <top style="slantDashDot">
          <color indexed="64"/>
        </top>
        <bottom style="thin">
          <color indexed="64"/>
        </bottom>
        <vertical/>
        <horizontal/>
      </border>
    </dxf>
    <dxf>
      <font>
        <b val="0"/>
        <i val="0"/>
        <strike val="0"/>
        <condense val="0"/>
        <extend val="0"/>
        <outline val="0"/>
        <shadow val="0"/>
        <u val="none"/>
        <vertAlign val="baseline"/>
        <sz val="12"/>
        <color indexed="8"/>
        <name val="Calibri"/>
        <family val="2"/>
        <scheme val="none"/>
      </font>
      <border diagonalUp="0" diagonalDown="0" outline="0">
        <left/>
        <right style="slantDashDot">
          <color indexed="64"/>
        </right>
        <top/>
        <bottom/>
      </border>
    </dxf>
    <dxf>
      <font>
        <b val="0"/>
        <i val="0"/>
        <strike val="0"/>
        <condense val="0"/>
        <extend val="0"/>
        <outline val="0"/>
        <shadow val="0"/>
        <u val="none"/>
        <vertAlign val="baseline"/>
        <sz val="12"/>
        <color indexed="8"/>
        <name val="Calibri"/>
        <family val="2"/>
        <scheme val="none"/>
      </font>
      <numFmt numFmtId="19" formatCode="dd/mm/yyyy"/>
      <border diagonalUp="0" diagonalDown="0">
        <left/>
        <right/>
        <top/>
        <bottom style="thin">
          <color indexed="64"/>
        </bottom>
        <vertical/>
        <horizontal/>
      </border>
    </dxf>
    <dxf>
      <font>
        <b val="0"/>
        <i val="0"/>
        <strike val="0"/>
        <condense val="0"/>
        <extend val="0"/>
        <outline val="0"/>
        <shadow val="0"/>
        <u val="none"/>
        <vertAlign val="baseline"/>
        <sz val="12"/>
        <color indexed="8"/>
        <name val="Calibri"/>
        <family val="2"/>
        <scheme val="none"/>
      </font>
      <border diagonalUp="0" diagonalDown="0" outline="0">
        <left/>
        <right style="slantDashDot">
          <color indexed="64"/>
        </right>
        <top/>
        <bottom/>
      </border>
    </dxf>
    <dxf>
      <font>
        <b val="0"/>
        <i val="0"/>
        <strike val="0"/>
        <condense val="0"/>
        <extend val="0"/>
        <outline val="0"/>
        <shadow val="0"/>
        <u val="none"/>
        <vertAlign val="baseline"/>
        <sz val="12"/>
        <color indexed="8"/>
        <name val="Calibri"/>
        <family val="2"/>
        <scheme val="none"/>
      </font>
      <numFmt numFmtId="19" formatCode="dd/mm/yyyy"/>
      <border diagonalUp="0" diagonalDown="0">
        <left/>
        <right style="slantDashDot">
          <color indexed="64"/>
        </right>
        <top style="thin">
          <color indexed="64"/>
        </top>
        <bottom style="thin">
          <color indexed="64"/>
        </bottom>
        <vertical/>
        <horizontal/>
      </border>
    </dxf>
    <dxf>
      <border outline="0">
        <left style="slantDashDot">
          <color indexed="64"/>
        </left>
        <right style="medium">
          <color indexed="64"/>
        </right>
        <top style="slantDashDot">
          <color indexed="64"/>
        </top>
      </border>
    </dxf>
    <dxf>
      <border outline="0">
        <bottom style="slantDashDot">
          <color indexed="64"/>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style="slantDashDot">
          <color indexed="64"/>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style="slantDashDot">
          <color indexed="64"/>
        </right>
        <top style="slantDashDot">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style="slantDashDot">
          <color indexed="64"/>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style="thin">
          <color indexed="64"/>
        </right>
        <top style="slantDashDot">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outline="0">
        <left style="slantDashDot">
          <color indexed="64"/>
        </left>
        <right style="slantDashDot">
          <color indexed="64"/>
        </right>
        <top/>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slantDashDot">
          <color indexed="64"/>
        </left>
        <right style="thin">
          <color indexed="64"/>
        </right>
        <top style="slantDashDot">
          <color indexed="64"/>
        </top>
        <bottom style="thin">
          <color indexed="64"/>
        </bottom>
        <vertical/>
        <horizontal/>
      </border>
    </dxf>
    <dxf>
      <font>
        <b val="0"/>
        <i val="0"/>
        <strike val="0"/>
        <condense val="0"/>
        <extend val="0"/>
        <outline val="0"/>
        <shadow val="0"/>
        <u val="none"/>
        <vertAlign val="baseline"/>
        <sz val="12"/>
        <color indexed="8"/>
        <name val="Calibri"/>
        <family val="2"/>
        <scheme val="none"/>
      </font>
      <border diagonalUp="0" diagonalDown="0" outline="0">
        <left style="slantDashDot">
          <color indexed="64"/>
        </left>
        <right style="slantDashDot">
          <color indexed="64"/>
        </right>
        <top/>
        <bottom/>
      </border>
    </dxf>
    <dxf>
      <font>
        <b val="0"/>
        <i val="0"/>
        <strike val="0"/>
        <condense val="0"/>
        <extend val="0"/>
        <outline val="0"/>
        <shadow val="0"/>
        <u val="none"/>
        <vertAlign val="baseline"/>
        <sz val="12"/>
        <color indexed="8"/>
        <name val="Calibri"/>
        <family val="2"/>
        <scheme val="none"/>
      </font>
      <numFmt numFmtId="19" formatCode="dd/mm/yyyy"/>
      <border diagonalUp="0" diagonalDown="0">
        <left style="slantDashDot">
          <color indexed="64"/>
        </left>
        <right/>
        <top/>
        <bottom style="thin">
          <color indexed="64"/>
        </bottom>
        <vertical/>
        <horizontal/>
      </border>
    </dxf>
    <dxf>
      <font>
        <b val="0"/>
        <i val="0"/>
        <strike val="0"/>
        <condense val="0"/>
        <extend val="0"/>
        <outline val="0"/>
        <shadow val="0"/>
        <u val="none"/>
        <vertAlign val="baseline"/>
        <sz val="12"/>
        <color indexed="8"/>
        <name val="Calibri"/>
        <family val="2"/>
        <scheme val="none"/>
      </font>
      <border diagonalUp="0" diagonalDown="0" outline="0">
        <left style="slantDashDot">
          <color indexed="64"/>
        </left>
        <right style="slantDashDot">
          <color indexed="64"/>
        </right>
        <top/>
        <bottom/>
      </border>
    </dxf>
    <dxf>
      <font>
        <b val="0"/>
        <i val="0"/>
        <strike val="0"/>
        <condense val="0"/>
        <extend val="0"/>
        <outline val="0"/>
        <shadow val="0"/>
        <u val="none"/>
        <vertAlign val="baseline"/>
        <sz val="12"/>
        <color indexed="8"/>
        <name val="Calibri"/>
        <family val="2"/>
        <scheme val="none"/>
      </font>
      <numFmt numFmtId="19" formatCode="dd/mm/yyyy"/>
      <border diagonalUp="0" diagonalDown="0">
        <left/>
        <right style="slantDashDot">
          <color indexed="64"/>
        </right>
        <top style="thin">
          <color indexed="64"/>
        </top>
        <bottom style="thin">
          <color indexed="64"/>
        </bottom>
        <vertical/>
        <horizontal/>
      </border>
    </dxf>
    <dxf>
      <border outline="0">
        <top style="slantDashDot">
          <color indexed="64"/>
        </top>
        <bottom style="thick">
          <color indexed="64"/>
        </bottom>
      </border>
    </dxf>
    <dxf>
      <font>
        <b val="0"/>
        <i val="0"/>
        <strike val="0"/>
        <condense val="0"/>
        <extend val="0"/>
        <outline val="0"/>
        <shadow val="0"/>
        <u val="none"/>
        <vertAlign val="baseline"/>
        <sz val="12"/>
        <color auto="1"/>
        <name val="Calibri"/>
        <family val="2"/>
        <scheme val="none"/>
      </font>
      <alignment horizontal="center" vertical="bottom" textRotation="0" wrapText="0" indent="0" justifyLastLine="0" shrinkToFit="0" readingOrder="0"/>
    </dxf>
    <dxf>
      <border outline="0">
        <bottom style="slantDashDot">
          <color indexed="64"/>
        </bottom>
      </border>
    </dxf>
    <dxf>
      <font>
        <b val="0"/>
        <i val="0"/>
        <strike val="0"/>
        <condense val="0"/>
        <extend val="0"/>
        <outline val="0"/>
        <shadow val="0"/>
        <u val="none"/>
        <vertAlign val="baseline"/>
        <sz val="12"/>
        <color theme="1"/>
        <name val="Aptos Narrow"/>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Calibri"/>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border>
      <protection locked="1" hidden="0"/>
    </dxf>
    <dxf>
      <font>
        <b/>
        <i val="0"/>
        <strike val="0"/>
        <condense val="0"/>
        <extend val="0"/>
        <outline val="0"/>
        <shadow val="0"/>
        <u val="none"/>
        <vertAlign val="baseline"/>
        <sz val="10"/>
        <color auto="1"/>
        <name val="Calibri"/>
        <family val="2"/>
        <scheme val="none"/>
      </font>
      <numFmt numFmtId="13" formatCode="0%"/>
      <alignment horizontal="center" vertical="bottom"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0"/>
        <color auto="1"/>
        <name val="Calibri"/>
        <family val="2"/>
        <scheme val="none"/>
      </font>
      <numFmt numFmtId="164" formatCode="&quot;£&quot;#,##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0"/>
        <color auto="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none"/>
      </font>
      <numFmt numFmtId="164" formatCode="&quot;£&quot;#,##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0"/>
        <color auto="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none"/>
      </font>
      <numFmt numFmtId="164" formatCode="&quot;£&quot;#,##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0"/>
        <color auto="1"/>
        <name val="Calibri"/>
        <family val="2"/>
        <scheme val="none"/>
      </font>
      <numFmt numFmtId="164" formatCode="&quot;£&quot;#,##0.00"/>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style="slantDashDot">
          <color indexed="64"/>
        </right>
        <top/>
        <bottom/>
      </border>
      <protection locked="1" hidden="0"/>
    </dxf>
    <dxf>
      <font>
        <b val="0"/>
        <i val="0"/>
        <strike val="0"/>
        <condense val="0"/>
        <extend val="0"/>
        <outline val="0"/>
        <shadow val="0"/>
        <u val="none"/>
        <vertAlign val="baseline"/>
        <sz val="10"/>
        <color indexed="8"/>
        <name val="Calibri"/>
        <family val="2"/>
        <scheme val="none"/>
      </font>
      <numFmt numFmtId="166" formatCode="#,##0_);[Red]\(#,##0\)"/>
      <border diagonalUp="0" diagonalDown="0">
        <left/>
        <right style="slantDashDot">
          <color indexed="64"/>
        </right>
        <top style="thin">
          <color indexed="64"/>
        </top>
        <bottom style="thin">
          <color indexed="64"/>
        </bottom>
        <vertical/>
        <horizontal/>
      </border>
    </dxf>
    <dxf>
      <border outline="0">
        <left style="slantDashDot">
          <color indexed="64"/>
        </left>
        <right style="slantDashDot">
          <color indexed="64"/>
        </right>
        <top style="slantDashDot">
          <color indexed="64"/>
        </top>
        <bottom style="slantDashDot">
          <color indexed="64"/>
        </bottom>
      </border>
    </dxf>
    <dxf>
      <border outline="0">
        <bottom style="slantDashDot">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860A2C-204C-6A4B-A960-DE3D0D5BAB49}" name="General_Expenditure" displayName="General_Expenditure" ref="B3:F15" totalsRowCount="1" headerRowBorderDxfId="186" tableBorderDxfId="185">
  <autoFilter ref="B3:F14" xr:uid="{25860A2C-204C-6A4B-A960-DE3D0D5BAB49}"/>
  <tableColumns count="5">
    <tableColumn id="1" xr3:uid="{5D780BBC-7673-F64B-9AE6-1F83DE294DF5}" name="Payment 25-26" totalsRowLabel="Total" dataDxfId="184" totalsRowDxfId="183" dataCellStyle="Normal 2"/>
    <tableColumn id="2" xr3:uid="{FAE19395-8A84-2047-B91A-02C8DF2467B5}" name="Budget" totalsRowFunction="sum" dataDxfId="182" totalsRowDxfId="181" dataCellStyle="Normal 2"/>
    <tableColumn id="3" xr3:uid="{B416BAE9-5F97-894F-9237-5F2FACF09B7E}" name="Paid to date" totalsRowFunction="sum" dataDxfId="180" totalsRowDxfId="179" dataCellStyle="Normal 2"/>
    <tableColumn id="4" xr3:uid="{B41439C1-3693-BE4A-A2CC-72BAE61A319A}" name="Remaining" totalsRowFunction="sum" dataDxfId="178" totalsRowDxfId="177" dataCellStyle="Normal 2">
      <calculatedColumnFormula>C4-D4</calculatedColumnFormula>
    </tableColumn>
    <tableColumn id="5" xr3:uid="{5844A5D1-72F7-804E-9222-2CC7787D1926}" name="Percentage Complete" totalsRowFunction="custom" dataDxfId="176" totalsRowDxfId="175" dataCellStyle="Normal 2">
      <calculatedColumnFormula>General_Expenditure[[#This Row],[Paid to date]]/General_Expenditure[[#This Row],[Budget]]</calculatedColumnFormula>
      <totalsRowFormula>SUBTOTAL(1,General_Expenditure[Percentage Complete])</totalsRow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4FBE8C-3DC4-0F47-9216-8618A8B4AED9}" name="Website" displayName="Website" ref="B11:G13" totalsRowCount="1" tableBorderDxfId="93">
  <autoFilter ref="B11:G12" xr:uid="{5B4FBE8C-3DC4-0F47-9216-8618A8B4AED9}"/>
  <tableColumns count="6">
    <tableColumn id="1" xr3:uid="{BAA23472-C606-AA4D-9F9F-5AFC9B1C7F6A}" name="Line Item" totalsRowLabel="Total" dataDxfId="92" totalsRowDxfId="91"/>
    <tableColumn id="5" xr3:uid="{9C984C03-8FBB-FA46-9163-3ACC5D564950}" name="Supplier" dataDxfId="90" totalsRowDxfId="89"/>
    <tableColumn id="2" xr3:uid="{DE08B511-C84B-7C45-BCEF-3B7030F0F757}" name="Budget" totalsRowFunction="sum" dataDxfId="88" totalsRowDxfId="87"/>
    <tableColumn id="3" xr3:uid="{B300F196-A3D6-8F46-931A-43ACD872C3AB}" name="Spent" totalsRowFunction="sum" dataDxfId="86" totalsRowDxfId="85"/>
    <tableColumn id="6" xr3:uid="{2B21CD97-FF5F-6840-8CE5-56124ABD5BF1}" name="VAT Charged?" dataDxfId="84" totalsRowDxfId="83"/>
    <tableColumn id="4" xr3:uid="{51597655-575F-5240-8237-4C049C1FE9B6}" name="Difference" totalsRowFunction="sum" dataDxfId="82" totalsRowDxfId="81">
      <calculatedColumnFormula>D12-E12</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775F7A-B4F3-7346-B0C3-637344FF9723}" name="Newsletter" displayName="Newsletter" ref="B17:G19" totalsRowCount="1" tableBorderDxfId="80">
  <autoFilter ref="B17:G18" xr:uid="{BE775F7A-B4F3-7346-B0C3-637344FF9723}"/>
  <tableColumns count="6">
    <tableColumn id="1" xr3:uid="{DFA48961-2DFF-534E-BB03-F6A98C6F58A5}" name="Line Item" totalsRowLabel="Total" dataDxfId="79" totalsRowDxfId="78"/>
    <tableColumn id="5" xr3:uid="{F1429158-57E8-974C-ADC3-B505ECE9C2B0}" name="Supplier" dataDxfId="77" totalsRowDxfId="76"/>
    <tableColumn id="2" xr3:uid="{4BCD257F-73C1-DD42-B499-58BD621788CC}" name="Budget" totalsRowFunction="sum" dataDxfId="75" totalsRowDxfId="74"/>
    <tableColumn id="3" xr3:uid="{D29899D3-174C-584C-868F-C2629C74687F}" name="Spent" totalsRowFunction="sum" dataDxfId="73" totalsRowDxfId="72"/>
    <tableColumn id="6" xr3:uid="{3E6DC07C-9DF8-AE44-9E25-A041604D606A}" name="VAT Charged?" dataDxfId="71" totalsRowDxfId="70"/>
    <tableColumn id="4" xr3:uid="{6EEFF2FB-215C-354A-A197-2B4210FD9FA2}" name="Difference" totalsRowFunction="sum" dataDxfId="69" totalsRowDxfId="68">
      <calculatedColumnFormula>D18-E18</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3D466A-0A3E-634B-9D36-BF457167B9D4}" name="Materials" displayName="Materials" ref="B12:E16" totalsRowCount="1" tableBorderDxfId="67">
  <autoFilter ref="B12:E15" xr:uid="{563D466A-0A3E-634B-9D36-BF457167B9D4}"/>
  <tableColumns count="4">
    <tableColumn id="1" xr3:uid="{48D58A9E-9B31-A648-B690-FBF066A9EF30}" name="Line Item" totalsRowLabel="Total"/>
    <tableColumn id="2" xr3:uid="{77682893-209D-1445-8611-D00A314F088B}" name="Budget" totalsRowFunction="sum" totalsRowDxfId="66">
      <calculatedColumnFormula>SUM(C12:C12)</calculatedColumnFormula>
    </tableColumn>
    <tableColumn id="3" xr3:uid="{5B868693-0EF9-DA4F-8B7D-187C91EE651E}" name="Spent" totalsRowFunction="sum" dataDxfId="65" totalsRowDxfId="64">
      <calculatedColumnFormula>SUM(D12:D12)</calculatedColumnFormula>
    </tableColumn>
    <tableColumn id="4" xr3:uid="{92B6599A-F729-5F46-AB45-0A53591C477F}" name="Difference" totalsRowFunction="sum" dataDxfId="63" totalsRowDxfId="62">
      <calculatedColumnFormula>Materials[[#This Row],[Budget]]-Materials[[#This Row],[Spent]]</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BCE19D1-468E-E44B-8E50-F393DE026CE6}" name="Contractors" displayName="Contractors" ref="B20:F25" totalsRowCount="1" tableBorderDxfId="61">
  <autoFilter ref="B20:F24" xr:uid="{2BCE19D1-468E-E44B-8E50-F393DE026CE6}"/>
  <tableColumns count="5">
    <tableColumn id="1" xr3:uid="{A253016C-B3E2-A347-9F96-DC7FC99A09F0}" name="Line Item" totalsRowLabel="Total"/>
    <tableColumn id="2" xr3:uid="{479B31EE-0359-D942-8B53-057FD180528D}" name="Budget" totalsRowFunction="sum" totalsRowDxfId="60">
      <calculatedColumnFormula>SUM(C20:C20)</calculatedColumnFormula>
    </tableColumn>
    <tableColumn id="3" xr3:uid="{8507595E-5B7C-A840-A8DC-71CDA7D94F96}" name="Spent" totalsRowFunction="sum" dataDxfId="59" totalsRowDxfId="58">
      <calculatedColumnFormula>SUM(D20:D20)</calculatedColumnFormula>
    </tableColumn>
    <tableColumn id="5" xr3:uid="{DBC4357A-831A-0445-B92A-C1B4BF25E05A}" name="VAT Charged?" dataDxfId="57" totalsRowDxfId="56"/>
    <tableColumn id="4" xr3:uid="{B61E45DF-D356-604F-B0A0-ADC58E8C0344}" name="Difference" totalsRowFunction="sum" dataDxfId="55" totalsRowDxfId="54">
      <calculatedColumnFormula>Contractors[[#This Row],[Budget]]-Contractors[[#This Row],[Spent]]</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953188D-8FC7-FD49-8FAC-8FAB0959653A}" name="VAS" displayName="VAS" ref="B9:E11" totalsRowCount="1" tableBorderDxfId="53">
  <autoFilter ref="B9:E10" xr:uid="{6953188D-8FC7-FD49-8FAC-8FAB0959653A}"/>
  <tableColumns count="4">
    <tableColumn id="1" xr3:uid="{F7B421D0-0592-474D-BD07-3DE214B6F2F1}" name="Line Item" totalsRowLabel="Total"/>
    <tableColumn id="2" xr3:uid="{6530DF12-A97B-1E46-9056-38599CD101E0}" name="Budget" totalsRowFunction="sum" totalsRowDxfId="52">
      <calculatedColumnFormula>SUM(C9:C9)</calculatedColumnFormula>
    </tableColumn>
    <tableColumn id="3" xr3:uid="{99602FA1-7D00-B949-97D5-5B38CC68293F}" name="Spent" totalsRowFunction="sum" dataDxfId="51" totalsRowDxfId="50">
      <calculatedColumnFormula>SUM(D9:D9)</calculatedColumnFormula>
    </tableColumn>
    <tableColumn id="4" xr3:uid="{533E955F-4BDF-7145-B247-F873B163FFC0}" name="Difference" totalsRowFunction="sum" dataDxfId="49" totalsRowDxfId="48">
      <calculatedColumnFormula>VAS[[#This Row],[Budget]]-VAS[[#This Row],[Spent]]</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F9DBD98-7D95-C347-88B5-E869D5B6FD40}" name="Play_Area" displayName="Play_Area" ref="B15:E17" totalsRowCount="1" tableBorderDxfId="47">
  <autoFilter ref="B15:E16" xr:uid="{BF9DBD98-7D95-C347-88B5-E869D5B6FD40}"/>
  <tableColumns count="4">
    <tableColumn id="1" xr3:uid="{76412B16-B1C2-5F44-9405-74E2BBC91116}" name="Line Item" totalsRowLabel="Total"/>
    <tableColumn id="2" xr3:uid="{4C34EF58-3F67-B944-ACAE-8F6182AC39BE}" name="Budget" totalsRowFunction="sum" totalsRowDxfId="46"/>
    <tableColumn id="3" xr3:uid="{D211FEE4-5133-644F-84BF-78D55A497D1A}" name="Spent" totalsRowFunction="sum" dataDxfId="45" totalsRowDxfId="44">
      <calculatedColumnFormula>SUM(D15:D15)</calculatedColumnFormula>
    </tableColumn>
    <tableColumn id="4" xr3:uid="{B0CFC93C-AFAA-A347-972E-F67F66C02ABC}" name="Difference" totalsRowFunction="sum" dataDxfId="43" totalsRowDxfId="42">
      <calculatedColumnFormula>Play_Area[[#This Row],[Budget]]-Play_Area[[#This Row],[Spent]]</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8070D2-4B1A-6A43-8B3D-2E08EF7C2C62}" name="Grants_Donations" displayName="Grants_Donations" ref="B21:E23" totalsRowCount="1" tableBorderDxfId="41">
  <autoFilter ref="B21:E22" xr:uid="{858070D2-4B1A-6A43-8B3D-2E08EF7C2C62}"/>
  <tableColumns count="4">
    <tableColumn id="1" xr3:uid="{D73529E9-3883-B24D-9CB5-B103593A0A51}" name="Line Item" totalsRowLabel="Total"/>
    <tableColumn id="2" xr3:uid="{A5AD0893-1D1D-CD48-B7A1-D61158AC81C6}" name="Budget" totalsRowFunction="sum" totalsRowDxfId="40"/>
    <tableColumn id="3" xr3:uid="{5B5CD54E-0B7F-5144-8919-903A238AA907}" name="Spent" totalsRowFunction="sum" dataDxfId="39" totalsRowDxfId="38">
      <calculatedColumnFormula>SUM(D21:D21)</calculatedColumnFormula>
    </tableColumn>
    <tableColumn id="4" xr3:uid="{519DCD2A-4891-7D48-A514-B3B30C6DEA0F}" name="Difference" totalsRowFunction="sum" dataDxfId="37" totalsRowDxfId="36">
      <calculatedColumnFormula>Grants_Donations[[#This Row],[Budget]]-Grants_Donations[[#This Row],[Spent]]</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80C367-FA26-ED47-A684-0510B715FFEA}" name="Table16" displayName="Table16" ref="B2:D25" totalsRowShown="0">
  <autoFilter ref="B2:D25" xr:uid="{B080C367-FA26-ED47-A684-0510B715FFEA}"/>
  <tableColumns count="3">
    <tableColumn id="1" xr3:uid="{48BB8C55-F0B4-0A49-8717-8F89A098D224}" name="Original Budget Line" dataDxfId="35" dataCellStyle="Normal 2"/>
    <tableColumn id="2" xr3:uid="{67C75DF5-1BCC-2142-9057-A95E0FE08875}" name="Explanation" dataDxfId="34"/>
    <tableColumn id="3" xr3:uid="{1A755E5C-3339-4743-894A-D878E7CEBDC6}" name="New Budget Li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AFC771E-0C43-9342-BACE-0675E6EEEF05}" name="Salary" displayName="Salary" ref="B10:F22" totalsRowCount="1" headerRowDxfId="174" dataDxfId="172" headerRowBorderDxfId="173" tableBorderDxfId="171" dataCellStyle="Normal 2">
  <autoFilter ref="B10:F21" xr:uid="{BAFC771E-0C43-9342-BACE-0675E6EEEF05}"/>
  <tableColumns count="5">
    <tableColumn id="1" xr3:uid="{673050CD-2507-1A4C-8017-1816CA8D6AD5}" name="Date" totalsRowLabel="Total" dataDxfId="170" totalsRowDxfId="169" dataCellStyle="Normal 2"/>
    <tableColumn id="8" xr3:uid="{6FD90D96-535B-6941-9041-2AF8FD5E1978}" name="Recipient" dataDxfId="168" totalsRowDxfId="167" dataCellStyle="Normal 2"/>
    <tableColumn id="3" xr3:uid="{B15C177A-85B5-744D-AC55-E15F17862847}" name="Direct Payment" totalsRowFunction="sum" dataDxfId="166" totalsRowDxfId="165" dataCellStyle="Normal 2"/>
    <tableColumn id="4" xr3:uid="{6DAEC2DF-01E4-9E4B-B14D-7F17714CE87B}" name="PAYE/NI" totalsRowFunction="sum" dataDxfId="164" totalsRowDxfId="163" dataCellStyle="Normal 2"/>
    <tableColumn id="6" xr3:uid="{7F69CD34-ECD7-DA43-B3C5-0B09C4D5AA63}" name="Total Spent" totalsRowFunction="custom" dataDxfId="162" totalsRowDxfId="161" dataCellStyle="Normal 2">
      <calculatedColumnFormula>SUBTOTAL(109,Salary[[#This Row],[Direct Payment]:[PAYE/NI]])</calculatedColumnFormula>
      <totalsRowFormula>SUM(Salary[Total Spent])</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F1F130-8B92-6F48-A843-03D3BEE92A1E}" name="Expenses" displayName="Expenses" ref="B26:G39" totalsRowCount="1" headerRowBorderDxfId="160" tableBorderDxfId="159">
  <autoFilter ref="B26:G38" xr:uid="{2BF1F130-8B92-6F48-A843-03D3BEE92A1E}"/>
  <tableColumns count="6">
    <tableColumn id="1" xr3:uid="{B24B6ACD-B114-0043-AE18-EF89FF0607BD}" name="Date" totalsRowLabel="Total" dataDxfId="158" totalsRowDxfId="157" dataCellStyle="Normal 2"/>
    <tableColumn id="5" xr3:uid="{3BE9A957-F2C6-074F-9ED8-7ADC72773B41}" name="Recipient" dataDxfId="156" totalsRowDxfId="155" dataCellStyle="Normal 2"/>
    <tableColumn id="2" xr3:uid="{F9389D1B-BD91-264E-A128-5E2B06A36AF5}" name="Budget" totalsRowFunction="sum" dataDxfId="154" totalsRowDxfId="153" dataCellStyle="Normal 2"/>
    <tableColumn id="3" xr3:uid="{D89C886B-AD33-7641-9352-74C2E6BB5B9D}" name="Spent" totalsRowFunction="sum" dataDxfId="152" totalsRowDxfId="151" dataCellStyle="Normal 2"/>
    <tableColumn id="6" xr3:uid="{73E633D9-A5AB-5043-BA2E-E521F57F5CEC}" name="VAT" dataDxfId="150" totalsRowDxfId="149" dataCellStyle="Normal 2"/>
    <tableColumn id="4" xr3:uid="{2F005DEC-7614-7E4C-8159-2D2A437E4B4A}" name="Difference" totalsRowFunction="sum" dataDxfId="148" totalsRowDxfId="147" dataCellStyle="Normal 2">
      <calculatedColumnFormula>Expenses[[#This Row],[Budget]]-Expenses[[#This Row],[Spent]]</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73464D-EC88-6243-804A-37FC61C5F083}" name="Administration_Costs" displayName="Administration_Costs" ref="B11:G14" totalsRowCount="1" tableBorderDxfId="146">
  <autoFilter ref="B11:G13" xr:uid="{5773464D-EC88-6243-804A-37FC61C5F083}"/>
  <tableColumns count="6">
    <tableColumn id="1" xr3:uid="{63C5D9E0-1BA5-5C43-9987-A995B0CC9C3B}" name="Line Item" totalsRowLabel="Total"/>
    <tableColumn id="5" xr3:uid="{13AADBF7-2A62-494F-8A08-539C0C7B640B}" name="Recipient" dataDxfId="145"/>
    <tableColumn id="2" xr3:uid="{FBF1F0A6-D94C-2E40-A085-F456175DA883}" name="Budget" totalsRowFunction="sum" totalsRowDxfId="144"/>
    <tableColumn id="3" xr3:uid="{3453829C-083C-FF4F-8020-DE25E619294C}" name="Spent" totalsRowFunction="sum" dataDxfId="143" totalsRowDxfId="142"/>
    <tableColumn id="6" xr3:uid="{DCA7CB35-C412-9A4F-A646-7919D7EB980D}" name="VAT Charged" dataDxfId="141" totalsRowDxfId="140"/>
    <tableColumn id="4" xr3:uid="{6E121FA2-6C9B-3B4B-A69B-A7B7440A420D}" name="Difference" totalsRowFunction="sum" dataDxfId="139" totalsRowDxfId="138">
      <calculatedColumnFormula>Administration_Costs[[#This Row],[Budget]]-Administration_Costs[[#This Row],[Spent]]</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A69B445-31C1-A74A-AC31-D43698E76925}" name="Councillor_Training" displayName="Councillor_Training" ref="B18:G20" totalsRowCount="1" tableBorderDxfId="137">
  <autoFilter ref="B18:G19" xr:uid="{0A69B445-31C1-A74A-AC31-D43698E76925}"/>
  <tableColumns count="6">
    <tableColumn id="1" xr3:uid="{07F61914-998C-DB45-AEF0-3100B4D0551A}" name="Line Item" totalsRowLabel="Total"/>
    <tableColumn id="5" xr3:uid="{559137A2-C271-A849-A4A7-FDEDE28B39E4}" name="Recipient" dataDxfId="136"/>
    <tableColumn id="2" xr3:uid="{F107C138-11A3-BA4A-9AA4-6A53019FC2EA}" name="Budget" totalsRowFunction="sum" dataDxfId="135" totalsRowDxfId="134"/>
    <tableColumn id="3" xr3:uid="{3A904468-E93D-514B-89C4-733C5B63DA1E}" name="Spent" totalsRowFunction="sum" dataDxfId="133" totalsRowDxfId="132"/>
    <tableColumn id="6" xr3:uid="{B6A4A23D-7A7C-6142-82CB-88042FC1681C}" name="VAT Charged" dataDxfId="131" totalsRowDxfId="130"/>
    <tableColumn id="4" xr3:uid="{9CD45B6A-6DD7-A644-A738-76A9981CF992}" name="Difference" totalsRowFunction="sum" dataDxfId="129" totalsRowDxfId="128">
      <calculatedColumnFormula>D19-E19</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75263C4-8AA8-0248-A71A-91527BA6A967}" name="Clerk_Training11" displayName="Clerk_Training11" ref="B12:G14" totalsRowCount="1" tableBorderDxfId="127">
  <autoFilter ref="B12:G13" xr:uid="{375263C4-8AA8-0248-A71A-91527BA6A967}"/>
  <tableColumns count="6">
    <tableColumn id="1" xr3:uid="{66D87CF7-311E-414E-81B2-D8959A212363}" name="Line Item" totalsRowLabel="Total"/>
    <tableColumn id="5" xr3:uid="{17472527-D415-E14F-B80F-897854C0FF52}" name="Recpient" dataDxfId="126"/>
    <tableColumn id="2" xr3:uid="{96CFA686-BB1D-4B4A-A11B-396B8C1A7547}" name="Budget" totalsRowFunction="sum" totalsRowDxfId="125"/>
    <tableColumn id="3" xr3:uid="{3B24D20B-A4F8-2546-9F1D-A702165EA84F}" name="Spent" totalsRowFunction="sum" dataDxfId="124" totalsRowDxfId="123"/>
    <tableColumn id="6" xr3:uid="{1D790733-6BCD-D44B-9A40-92D57FA631B4}" name="VAT Charged" dataDxfId="122" totalsRowDxfId="121"/>
    <tableColumn id="4" xr3:uid="{3CE2B112-E912-0E47-A606-6B9EBB87FFE9}" name="Difference" totalsRowFunction="sum" dataDxfId="120" totalsRowDxfId="119">
      <calculatedColumnFormula>D13-E13</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23F4C6-9CA3-7B4F-AC7E-79899945A9F6}" name="Subscriptions" displayName="Subscriptions" ref="B24:G26" totalsRowCount="1" tableBorderDxfId="118">
  <autoFilter ref="B24:G25" xr:uid="{1423F4C6-9CA3-7B4F-AC7E-79899945A9F6}"/>
  <tableColumns count="6">
    <tableColumn id="1" xr3:uid="{2FD81125-A47E-1D46-B076-B1E59E8F1686}" name="Line Item" totalsRowLabel="Total" dataDxfId="117"/>
    <tableColumn id="5" xr3:uid="{F45AD7F9-8812-324A-A387-373F445425F7}" name="Supplier" dataDxfId="116"/>
    <tableColumn id="2" xr3:uid="{0E32253A-9574-A246-84EE-78FEEB98450C}" name="Budget" totalsRowFunction="sum" totalsRowDxfId="115"/>
    <tableColumn id="3" xr3:uid="{3572FBE8-1461-464A-85CD-E9F597EF2D61}" name="Spent" totalsRowFunction="sum" dataDxfId="114" totalsRowDxfId="113"/>
    <tableColumn id="6" xr3:uid="{6B9F8C2B-CC9A-CF43-8DF0-15CD1F90F6B4}" name="VAT Charged?" dataDxfId="112" totalsRowDxfId="111"/>
    <tableColumn id="4" xr3:uid="{5B889593-30BB-934A-AB9D-9B24ECC4916E}" name="Difference" totalsRowFunction="sum" dataDxfId="110" totalsRowDxfId="109">
      <calculatedColumnFormula>D25-E25</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7C71F7-A884-844F-A1DB-8D0354350E1E}" name="Insurance_Costs" displayName="Insurance_Costs" ref="B18:G20" totalsRowCount="1" tableBorderDxfId="108">
  <autoFilter ref="B18:G19" xr:uid="{E37C71F7-A884-844F-A1DB-8D0354350E1E}"/>
  <tableColumns count="6">
    <tableColumn id="1" xr3:uid="{F92D5F6D-18FD-2447-A11A-63F972C19066}" name="Line Item" totalsRowLabel="Total"/>
    <tableColumn id="5" xr3:uid="{4DFDC8BB-CE5F-7949-AA82-33E4F0500DC3}" name="Supplier" dataDxfId="107"/>
    <tableColumn id="2" xr3:uid="{10E8FE2E-3CEA-9F4D-9325-29B94A5996B8}" name="Budget" totalsRowFunction="sum" totalsRowDxfId="106"/>
    <tableColumn id="3" xr3:uid="{8B804884-1323-1F42-A811-D0C683106ABC}" name="Spent" totalsRowFunction="sum" dataDxfId="105" totalsRowDxfId="104"/>
    <tableColumn id="6" xr3:uid="{866DC7F2-DEA9-1D4C-A752-6AE8CA400986}" name="VAT Charged?" dataDxfId="103" totalsRowDxfId="102"/>
    <tableColumn id="4" xr3:uid="{8A100396-80D5-5D45-8CF8-0C49C2D4FFE5}" name="Difference" totalsRowFunction="sum" dataDxfId="101" totalsRowDxfId="100">
      <calculatedColumnFormula>D19-E19</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48685F-9BCF-554B-BA05-7A820900B3B7}" name="Auditing_Costs" displayName="Auditing_Costs" ref="B11:G14" totalsRowCount="1" tableBorderDxfId="99">
  <autoFilter ref="B11:G13" xr:uid="{9248685F-9BCF-554B-BA05-7A820900B3B7}"/>
  <tableColumns count="6">
    <tableColumn id="1" xr3:uid="{5E67E86C-6F91-6E4D-84DB-C1E5CD5015FB}" name="Line Item" totalsRowLabel="Total"/>
    <tableColumn id="5" xr3:uid="{083E0F82-EF8B-1949-816C-47248EBCE902}" name="Supplier"/>
    <tableColumn id="2" xr3:uid="{A51A0F46-5EDC-2746-B5D7-EB22A948C4BA}" name="Budget" totalsRowFunction="sum" totalsRowDxfId="98"/>
    <tableColumn id="3" xr3:uid="{1AC0A35B-1549-EB41-8219-E9BD481D0CD3}" name="Spent" totalsRowFunction="sum" totalsRowDxfId="97"/>
    <tableColumn id="6" xr3:uid="{EEE21573-10EC-0649-9611-791A8EFBF98C}" name="VAT Charged?" dataDxfId="96" totalsRowDxfId="95"/>
    <tableColumn id="4" xr3:uid="{B8C604CD-6183-0447-9BD4-96415457DA35}" name="Difference" totalsRowFunction="sum" totalsRowDxfId="94">
      <calculatedColumnFormula>D12-E12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A0D2-8E11-A74C-929B-0272CB4E3E70}">
  <dimension ref="B2:N27"/>
  <sheetViews>
    <sheetView zoomScaleNormal="100" workbookViewId="0">
      <selection activeCell="C16" sqref="C16"/>
    </sheetView>
  </sheetViews>
  <sheetFormatPr defaultColWidth="11.19921875" defaultRowHeight="15.6" x14ac:dyDescent="0.3"/>
  <cols>
    <col min="2" max="2" width="27" bestFit="1" customWidth="1"/>
    <col min="3" max="7" width="20.796875" customWidth="1"/>
  </cols>
  <sheetData>
    <row r="2" spans="2:5" ht="25.8" x14ac:dyDescent="0.5">
      <c r="B2" s="152" t="s">
        <v>195</v>
      </c>
    </row>
    <row r="4" spans="2:5" x14ac:dyDescent="0.3">
      <c r="C4" s="92" t="s">
        <v>9</v>
      </c>
      <c r="D4" s="92" t="s">
        <v>38</v>
      </c>
      <c r="E4" s="92" t="s">
        <v>2</v>
      </c>
    </row>
    <row r="5" spans="2:5" ht="21" x14ac:dyDescent="0.4">
      <c r="B5" s="10" t="s">
        <v>144</v>
      </c>
      <c r="C5" s="93">
        <f>'General Income'!C9</f>
        <v>14422</v>
      </c>
      <c r="D5" s="93">
        <f>'General Income'!D9</f>
        <v>15391.7</v>
      </c>
      <c r="E5" s="94">
        <f>'General Income'!E9</f>
        <v>969.70000000000073</v>
      </c>
    </row>
    <row r="6" spans="2:5" x14ac:dyDescent="0.3">
      <c r="B6" s="95"/>
    </row>
    <row r="9" spans="2:5" ht="21" x14ac:dyDescent="0.4">
      <c r="B9" s="10" t="s">
        <v>40</v>
      </c>
      <c r="C9" s="93">
        <f>'General Expenditure (old)'!C27</f>
        <v>17331.18</v>
      </c>
      <c r="D9" s="93">
        <f>'General Expenditure (old)'!D27</f>
        <v>10197.410000000002</v>
      </c>
      <c r="E9" s="94">
        <f>'General Expenditure (old)'!E27</f>
        <v>7133.7699999999986</v>
      </c>
    </row>
    <row r="12" spans="2:5" x14ac:dyDescent="0.3">
      <c r="C12" s="92" t="s">
        <v>193</v>
      </c>
    </row>
    <row r="13" spans="2:5" ht="21" x14ac:dyDescent="0.4">
      <c r="B13" s="10" t="s">
        <v>36</v>
      </c>
      <c r="C13" s="107" t="str">
        <f>IF(AND('Hypothecated Funding'!F4=0,'Hypothecated Funding'!F5=0),"CLEAR","PENDING")</f>
        <v>CLEAR</v>
      </c>
    </row>
    <row r="16" spans="2:5" x14ac:dyDescent="0.3">
      <c r="C16" s="92" t="s">
        <v>194</v>
      </c>
    </row>
    <row r="17" spans="2:14" ht="21" x14ac:dyDescent="0.4">
      <c r="B17" s="10" t="s">
        <v>145</v>
      </c>
      <c r="C17" s="145" t="s">
        <v>248</v>
      </c>
    </row>
    <row r="20" spans="2:14" x14ac:dyDescent="0.3">
      <c r="C20" s="164" t="s">
        <v>194</v>
      </c>
    </row>
    <row r="21" spans="2:14" ht="21" x14ac:dyDescent="0.4">
      <c r="B21" s="10" t="s">
        <v>114</v>
      </c>
      <c r="C21" t="s">
        <v>248</v>
      </c>
    </row>
    <row r="25" spans="2:14" x14ac:dyDescent="0.3">
      <c r="L25" s="145"/>
      <c r="N25" s="145"/>
    </row>
    <row r="26" spans="2:14" x14ac:dyDescent="0.3">
      <c r="L26" s="145"/>
    </row>
    <row r="27" spans="2:14" x14ac:dyDescent="0.3">
      <c r="L27" s="145"/>
    </row>
  </sheetData>
  <conditionalFormatting sqref="C13">
    <cfRule type="containsText" dxfId="33" priority="1" operator="containsText" text="CLEAR">
      <formula>NOT(ISERROR(SEARCH("CLEAR",C13)))</formula>
    </cfRule>
    <cfRule type="containsText" dxfId="32" priority="2" operator="containsText" text="PENDING">
      <formula>NOT(ISERROR(SEARCH("PENDING",C13)))</formula>
    </cfRule>
  </conditionalFormatting>
  <conditionalFormatting sqref="E5">
    <cfRule type="cellIs" dxfId="31" priority="6" operator="equal">
      <formula>0</formula>
    </cfRule>
    <cfRule type="cellIs" dxfId="30" priority="7" operator="lessThan">
      <formula>0</formula>
    </cfRule>
    <cfRule type="cellIs" dxfId="29" priority="8" operator="greaterThan">
      <formula>0</formula>
    </cfRule>
  </conditionalFormatting>
  <conditionalFormatting sqref="E9">
    <cfRule type="cellIs" dxfId="28" priority="3" operator="equal">
      <formula>0</formula>
    </cfRule>
    <cfRule type="cellIs" dxfId="27" priority="4" operator="lessThan">
      <formula>0</formula>
    </cfRule>
    <cfRule type="cellIs" dxfId="26" priority="5" operator="greater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D7DB-B3BA-6C4C-829D-8A9422ABE0A8}">
  <dimension ref="B2:G14"/>
  <sheetViews>
    <sheetView topLeftCell="B7" zoomScale="200" zoomScaleNormal="200" workbookViewId="0">
      <selection activeCell="E13" sqref="E13"/>
    </sheetView>
  </sheetViews>
  <sheetFormatPr defaultColWidth="11.19921875" defaultRowHeight="15.6" x14ac:dyDescent="0.3"/>
  <cols>
    <col min="2" max="8" width="20.796875" customWidth="1"/>
  </cols>
  <sheetData>
    <row r="2" spans="2:7" ht="25.8" x14ac:dyDescent="0.5">
      <c r="B2" s="152" t="s">
        <v>186</v>
      </c>
    </row>
    <row r="3" spans="2:7" ht="16.2" thickBot="1" x14ac:dyDescent="0.35"/>
    <row r="4" spans="2:7" ht="16.2" thickBot="1" x14ac:dyDescent="0.35">
      <c r="B4" s="174"/>
      <c r="C4" s="155" t="s">
        <v>9</v>
      </c>
      <c r="D4" s="148" t="s">
        <v>39</v>
      </c>
      <c r="E4" s="156" t="s">
        <v>177</v>
      </c>
      <c r="F4" s="92"/>
    </row>
    <row r="5" spans="2:7" ht="16.8" thickTop="1" thickBot="1" x14ac:dyDescent="0.35">
      <c r="B5" s="175" t="s">
        <v>8</v>
      </c>
      <c r="C5" s="161">
        <f>Administration_Costs[[#Totals],[Budget]]</f>
        <v>120</v>
      </c>
      <c r="D5" s="161">
        <f>Administration_Costs[[#Totals],[Spent]]</f>
        <v>42.96</v>
      </c>
      <c r="E5" s="163">
        <f>C5-D5</f>
        <v>77.039999999999992</v>
      </c>
      <c r="F5" s="194"/>
    </row>
    <row r="6" spans="2:7" ht="16.8" thickTop="1" thickBot="1" x14ac:dyDescent="0.35"/>
    <row r="7" spans="2:7" ht="16.8" thickTop="1" thickBot="1" x14ac:dyDescent="0.35">
      <c r="B7" s="188"/>
      <c r="C7" s="188"/>
      <c r="D7" s="188"/>
      <c r="E7" s="188"/>
      <c r="F7" s="188"/>
    </row>
    <row r="8" spans="2:7" ht="16.2" thickTop="1" x14ac:dyDescent="0.3"/>
    <row r="10" spans="2:7" x14ac:dyDescent="0.3">
      <c r="B10" s="8" t="s">
        <v>208</v>
      </c>
    </row>
    <row r="11" spans="2:7" ht="16.2" thickBot="1" x14ac:dyDescent="0.35">
      <c r="B11" s="203" t="s">
        <v>200</v>
      </c>
      <c r="C11" s="5" t="s">
        <v>218</v>
      </c>
      <c r="D11" s="191" t="s">
        <v>9</v>
      </c>
      <c r="E11" s="192" t="s">
        <v>39</v>
      </c>
      <c r="F11" s="242" t="s">
        <v>231</v>
      </c>
      <c r="G11" s="193" t="s">
        <v>177</v>
      </c>
    </row>
    <row r="12" spans="2:7" x14ac:dyDescent="0.3">
      <c r="B12" s="196" t="s">
        <v>233</v>
      </c>
      <c r="C12" s="240" t="s">
        <v>234</v>
      </c>
      <c r="D12" s="157">
        <v>0</v>
      </c>
      <c r="E12" s="133">
        <v>42.96</v>
      </c>
      <c r="F12" s="243" t="s">
        <v>232</v>
      </c>
      <c r="G12" s="158">
        <f>Administration_Costs[[#This Row],[Budget]]-Administration_Costs[[#This Row],[Spent]]</f>
        <v>-42.96</v>
      </c>
    </row>
    <row r="13" spans="2:7" ht="31.2" x14ac:dyDescent="0.3">
      <c r="B13" s="5" t="s">
        <v>235</v>
      </c>
      <c r="C13" s="240" t="s">
        <v>236</v>
      </c>
      <c r="D13" s="194">
        <v>120</v>
      </c>
      <c r="E13" s="133">
        <v>0</v>
      </c>
      <c r="F13" s="243" t="s">
        <v>232</v>
      </c>
      <c r="G13" s="158">
        <f>Administration_Costs[[#This Row],[Budget]]-Administration_Costs[[#This Row],[Spent]]</f>
        <v>120</v>
      </c>
    </row>
    <row r="14" spans="2:7" x14ac:dyDescent="0.3">
      <c r="B14" t="s">
        <v>8</v>
      </c>
      <c r="D14" s="162">
        <f>SUBTOTAL(109,Administration_Costs[Budget])</f>
        <v>120</v>
      </c>
      <c r="E14" s="162">
        <f>SUBTOTAL(109,Administration_Costs[Spent])</f>
        <v>42.96</v>
      </c>
      <c r="F14" s="162"/>
      <c r="G14" s="162">
        <f>SUBTOTAL(109,Administration_Costs[Difference])</f>
        <v>77.039999999999992</v>
      </c>
    </row>
  </sheetData>
  <conditionalFormatting sqref="E5:F5 G12:G13">
    <cfRule type="cellIs" dxfId="18" priority="2" operator="lessThan">
      <formula>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CB88-DCE3-0F48-BD63-6B75FAE8F44C}">
  <dimension ref="B2:G20"/>
  <sheetViews>
    <sheetView topLeftCell="A5" zoomScale="200" zoomScaleNormal="200" workbookViewId="0">
      <selection activeCell="B19" sqref="B19"/>
    </sheetView>
  </sheetViews>
  <sheetFormatPr defaultColWidth="11.19921875" defaultRowHeight="15.6" x14ac:dyDescent="0.3"/>
  <cols>
    <col min="2" max="6" width="20.796875" customWidth="1"/>
  </cols>
  <sheetData>
    <row r="2" spans="2:7" ht="25.8" x14ac:dyDescent="0.5">
      <c r="B2" s="152" t="s">
        <v>187</v>
      </c>
    </row>
    <row r="4" spans="2:7" ht="16.2" thickBot="1" x14ac:dyDescent="0.35"/>
    <row r="5" spans="2:7" ht="16.2" thickBot="1" x14ac:dyDescent="0.35">
      <c r="B5" s="151" t="s">
        <v>200</v>
      </c>
      <c r="C5" s="155" t="s">
        <v>9</v>
      </c>
      <c r="D5" s="148" t="s">
        <v>39</v>
      </c>
      <c r="E5" s="156" t="s">
        <v>177</v>
      </c>
    </row>
    <row r="6" spans="2:7" ht="16.8" thickTop="1" thickBot="1" x14ac:dyDescent="0.35">
      <c r="B6" s="153" t="s">
        <v>8</v>
      </c>
      <c r="C6" s="161">
        <f>SUM(Clerk_Training11[[#Totals],[Budget]],Councillor_Training[[#Totals],[Budget]])</f>
        <v>63</v>
      </c>
      <c r="D6" s="161">
        <f>SUM(Clerk_Training11[[#Totals],[Spent]],Councillor_Training[[#Totals],[Spent]])</f>
        <v>42</v>
      </c>
      <c r="E6" s="163">
        <f>C6-D6</f>
        <v>21</v>
      </c>
    </row>
    <row r="7" spans="2:7" ht="16.8" thickTop="1" thickBot="1" x14ac:dyDescent="0.35"/>
    <row r="8" spans="2:7" ht="16.8" thickTop="1" thickBot="1" x14ac:dyDescent="0.35">
      <c r="B8" s="204"/>
      <c r="C8" s="205"/>
      <c r="D8" s="205"/>
      <c r="E8" s="205"/>
    </row>
    <row r="9" spans="2:7" ht="16.2" thickTop="1" x14ac:dyDescent="0.3"/>
    <row r="11" spans="2:7" x14ac:dyDescent="0.3">
      <c r="B11" s="8" t="s">
        <v>209</v>
      </c>
    </row>
    <row r="12" spans="2:7" ht="16.2" thickBot="1" x14ac:dyDescent="0.35">
      <c r="B12" s="190" t="s">
        <v>200</v>
      </c>
      <c r="C12" t="s">
        <v>220</v>
      </c>
      <c r="D12" s="191" t="s">
        <v>9</v>
      </c>
      <c r="E12" s="192" t="s">
        <v>39</v>
      </c>
      <c r="F12" s="242" t="s">
        <v>231</v>
      </c>
      <c r="G12" s="193" t="s">
        <v>177</v>
      </c>
    </row>
    <row r="13" spans="2:7" x14ac:dyDescent="0.3">
      <c r="B13" s="189" t="s">
        <v>209</v>
      </c>
      <c r="C13" s="231" t="s">
        <v>221</v>
      </c>
      <c r="D13" s="157">
        <v>63</v>
      </c>
      <c r="E13" s="133">
        <v>42</v>
      </c>
      <c r="F13" s="135" t="s">
        <v>238</v>
      </c>
      <c r="G13" s="158">
        <f>D13-E13</f>
        <v>21</v>
      </c>
    </row>
    <row r="14" spans="2:7" x14ac:dyDescent="0.3">
      <c r="B14" t="s">
        <v>8</v>
      </c>
      <c r="D14" s="194">
        <f>SUBTOTAL(109,Clerk_Training11[Budget])</f>
        <v>63</v>
      </c>
      <c r="E14" s="194">
        <f>SUBTOTAL(109,Clerk_Training11[Spent])</f>
        <v>42</v>
      </c>
      <c r="F14" s="194"/>
      <c r="G14" s="162">
        <f>SUBTOTAL(109,Clerk_Training11[Difference])</f>
        <v>21</v>
      </c>
    </row>
    <row r="17" spans="2:7" x14ac:dyDescent="0.3">
      <c r="B17" s="8" t="s">
        <v>207</v>
      </c>
    </row>
    <row r="18" spans="2:7" ht="16.2" thickBot="1" x14ac:dyDescent="0.35">
      <c r="B18" s="190" t="s">
        <v>200</v>
      </c>
      <c r="C18" t="s">
        <v>218</v>
      </c>
      <c r="D18" s="191" t="s">
        <v>9</v>
      </c>
      <c r="E18" s="192" t="s">
        <v>39</v>
      </c>
      <c r="F18" s="242" t="s">
        <v>231</v>
      </c>
      <c r="G18" s="193" t="s">
        <v>177</v>
      </c>
    </row>
    <row r="19" spans="2:7" x14ac:dyDescent="0.3">
      <c r="B19" s="189" t="s">
        <v>201</v>
      </c>
      <c r="C19" s="231"/>
      <c r="D19" s="157">
        <v>0</v>
      </c>
      <c r="E19" s="133">
        <v>0</v>
      </c>
      <c r="F19" s="135" t="s">
        <v>232</v>
      </c>
      <c r="G19" s="158">
        <f>D19-E19</f>
        <v>0</v>
      </c>
    </row>
    <row r="20" spans="2:7" x14ac:dyDescent="0.3">
      <c r="B20" t="s">
        <v>8</v>
      </c>
      <c r="D20" s="194">
        <f>SUBTOTAL(109,Councillor_Training[Budget])</f>
        <v>0</v>
      </c>
      <c r="E20" s="194">
        <f>SUBTOTAL(109,Councillor_Training[Spent])</f>
        <v>0</v>
      </c>
      <c r="F20" s="194"/>
      <c r="G20" s="162">
        <f>SUBTOTAL(109,Councillor_Training[Difference])</f>
        <v>0</v>
      </c>
    </row>
  </sheetData>
  <conditionalFormatting sqref="E6">
    <cfRule type="cellIs" dxfId="17" priority="3" operator="lessThan">
      <formula>0</formula>
    </cfRule>
  </conditionalFormatting>
  <conditionalFormatting sqref="G13">
    <cfRule type="cellIs" dxfId="16" priority="1" operator="lessThan">
      <formula>0</formula>
    </cfRule>
  </conditionalFormatting>
  <conditionalFormatting sqref="G19">
    <cfRule type="cellIs" dxfId="15" priority="2" operator="lessThan">
      <formula>0</formula>
    </cfRule>
  </conditionalFormatting>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60A5-1B70-474D-B813-4A214BB8DD05}">
  <dimension ref="B2:G26"/>
  <sheetViews>
    <sheetView topLeftCell="A5" zoomScale="200" zoomScaleNormal="200" workbookViewId="0">
      <selection activeCell="F25" sqref="F25"/>
    </sheetView>
  </sheetViews>
  <sheetFormatPr defaultColWidth="11.19921875" defaultRowHeight="15.6" x14ac:dyDescent="0.3"/>
  <cols>
    <col min="2" max="5" width="20.796875" customWidth="1"/>
    <col min="6" max="6" width="20.796875" style="107" customWidth="1"/>
    <col min="7" max="7" width="20.796875" customWidth="1"/>
  </cols>
  <sheetData>
    <row r="2" spans="2:7" ht="25.8" x14ac:dyDescent="0.5">
      <c r="B2" s="152" t="s">
        <v>185</v>
      </c>
    </row>
    <row r="4" spans="2:7" ht="16.2" thickBot="1" x14ac:dyDescent="0.35">
      <c r="B4" s="173" t="s">
        <v>197</v>
      </c>
    </row>
    <row r="5" spans="2:7" ht="16.2" thickBot="1" x14ac:dyDescent="0.35">
      <c r="B5" s="151"/>
      <c r="C5" s="155" t="s">
        <v>9</v>
      </c>
      <c r="D5" s="148" t="s">
        <v>39</v>
      </c>
      <c r="E5" s="156" t="s">
        <v>177</v>
      </c>
    </row>
    <row r="6" spans="2:7" ht="16.8" thickTop="1" thickBot="1" x14ac:dyDescent="0.35">
      <c r="B6" s="153" t="s">
        <v>8</v>
      </c>
      <c r="C6" s="161">
        <f>SUM(Auditing_Costs[[#Totals],[Budget]],Insurance_Costs[[#Totals],[Budget]],Subscriptions[[#Totals],[Budget]])</f>
        <v>1437.88</v>
      </c>
      <c r="D6" s="161">
        <f>SUM(Auditing_Costs[[#Totals],[Spent]],Insurance_Costs[[#Totals],[Spent]],Subscriptions[[#Totals],[Spent]])</f>
        <v>1437.88</v>
      </c>
      <c r="E6" s="163">
        <f>C6-D6</f>
        <v>0</v>
      </c>
    </row>
    <row r="7" spans="2:7" ht="16.8" thickTop="1" thickBot="1" x14ac:dyDescent="0.35"/>
    <row r="8" spans="2:7" ht="16.8" thickTop="1" thickBot="1" x14ac:dyDescent="0.35">
      <c r="B8" s="188"/>
      <c r="C8" s="188"/>
      <c r="D8" s="188"/>
      <c r="E8" s="188"/>
    </row>
    <row r="9" spans="2:7" ht="16.2" thickTop="1" x14ac:dyDescent="0.3"/>
    <row r="10" spans="2:7" x14ac:dyDescent="0.3">
      <c r="B10" s="8" t="s">
        <v>172</v>
      </c>
    </row>
    <row r="11" spans="2:7" ht="16.2" thickBot="1" x14ac:dyDescent="0.35">
      <c r="B11" s="190" t="s">
        <v>200</v>
      </c>
      <c r="C11" t="s">
        <v>45</v>
      </c>
      <c r="D11" s="191" t="s">
        <v>9</v>
      </c>
      <c r="E11" s="192" t="s">
        <v>39</v>
      </c>
      <c r="F11" s="242" t="s">
        <v>225</v>
      </c>
      <c r="G11" s="193" t="s">
        <v>177</v>
      </c>
    </row>
    <row r="12" spans="2:7" x14ac:dyDescent="0.3">
      <c r="B12" s="189" t="s">
        <v>189</v>
      </c>
      <c r="C12" s="231" t="s">
        <v>227</v>
      </c>
      <c r="D12" s="157">
        <v>168</v>
      </c>
      <c r="E12" s="133">
        <v>168</v>
      </c>
      <c r="F12" s="243" t="s">
        <v>226</v>
      </c>
      <c r="G12" s="158">
        <f>D12-E12</f>
        <v>0</v>
      </c>
    </row>
    <row r="13" spans="2:7" ht="16.2" thickBot="1" x14ac:dyDescent="0.35">
      <c r="B13" s="195" t="s">
        <v>190</v>
      </c>
      <c r="C13" s="241" t="s">
        <v>224</v>
      </c>
      <c r="D13" s="159">
        <v>252</v>
      </c>
      <c r="E13" s="160">
        <v>252</v>
      </c>
      <c r="F13" s="244" t="s">
        <v>226</v>
      </c>
      <c r="G13" s="162">
        <f>D13-E13</f>
        <v>0</v>
      </c>
    </row>
    <row r="14" spans="2:7" ht="16.2" thickTop="1" x14ac:dyDescent="0.3">
      <c r="B14" t="s">
        <v>8</v>
      </c>
      <c r="D14" s="194">
        <f>SUBTOTAL(109,Auditing_Costs[Budget])</f>
        <v>420</v>
      </c>
      <c r="E14" s="194">
        <f>SUBTOTAL(109,Auditing_Costs[Spent])</f>
        <v>420</v>
      </c>
      <c r="F14" s="245"/>
      <c r="G14" s="194">
        <f>SUBTOTAL(109,Auditing_Costs[Difference])</f>
        <v>0</v>
      </c>
    </row>
    <row r="17" spans="2:7" x14ac:dyDescent="0.3">
      <c r="B17" s="8" t="s">
        <v>188</v>
      </c>
    </row>
    <row r="18" spans="2:7" ht="16.2" thickBot="1" x14ac:dyDescent="0.35">
      <c r="B18" s="190" t="s">
        <v>200</v>
      </c>
      <c r="C18" t="s">
        <v>45</v>
      </c>
      <c r="D18" s="191" t="s">
        <v>9</v>
      </c>
      <c r="E18" s="192" t="s">
        <v>39</v>
      </c>
      <c r="F18" s="242" t="s">
        <v>225</v>
      </c>
      <c r="G18" s="193" t="s">
        <v>177</v>
      </c>
    </row>
    <row r="19" spans="2:7" x14ac:dyDescent="0.3">
      <c r="B19" s="189" t="s">
        <v>223</v>
      </c>
      <c r="C19" s="231" t="s">
        <v>239</v>
      </c>
      <c r="D19" s="157">
        <v>418.46</v>
      </c>
      <c r="E19" s="133">
        <v>418.46</v>
      </c>
      <c r="F19" s="243" t="s">
        <v>226</v>
      </c>
      <c r="G19" s="247">
        <f>D19-E19</f>
        <v>0</v>
      </c>
    </row>
    <row r="20" spans="2:7" x14ac:dyDescent="0.3">
      <c r="B20" t="s">
        <v>8</v>
      </c>
      <c r="D20" s="162">
        <f>SUBTOTAL(109,Insurance_Costs[Budget])</f>
        <v>418.46</v>
      </c>
      <c r="E20" s="162">
        <f>SUBTOTAL(109,Insurance_Costs[Spent])</f>
        <v>418.46</v>
      </c>
      <c r="F20" s="246"/>
      <c r="G20" s="248">
        <f>SUBTOTAL(109,Insurance_Costs[Difference])</f>
        <v>0</v>
      </c>
    </row>
    <row r="23" spans="2:7" x14ac:dyDescent="0.3">
      <c r="B23" s="8" t="s">
        <v>15</v>
      </c>
    </row>
    <row r="24" spans="2:7" ht="16.2" thickBot="1" x14ac:dyDescent="0.35">
      <c r="B24" s="190" t="s">
        <v>200</v>
      </c>
      <c r="C24" t="s">
        <v>45</v>
      </c>
      <c r="D24" s="191" t="s">
        <v>9</v>
      </c>
      <c r="E24" s="192" t="s">
        <v>39</v>
      </c>
      <c r="F24" s="242" t="s">
        <v>225</v>
      </c>
      <c r="G24" s="193" t="s">
        <v>177</v>
      </c>
    </row>
    <row r="25" spans="2:7" ht="31.2" x14ac:dyDescent="0.3">
      <c r="B25" s="196" t="s">
        <v>222</v>
      </c>
      <c r="C25" s="231" t="s">
        <v>221</v>
      </c>
      <c r="D25" s="157">
        <v>599.41999999999996</v>
      </c>
      <c r="E25" s="133">
        <v>599.41999999999996</v>
      </c>
      <c r="F25" s="243" t="s">
        <v>226</v>
      </c>
      <c r="G25" s="247">
        <f>D25-E25</f>
        <v>0</v>
      </c>
    </row>
    <row r="26" spans="2:7" x14ac:dyDescent="0.3">
      <c r="B26" t="s">
        <v>8</v>
      </c>
      <c r="D26" s="162">
        <f>SUBTOTAL(109,Subscriptions[Budget])</f>
        <v>599.41999999999996</v>
      </c>
      <c r="E26" s="162">
        <f>SUBTOTAL(109,Subscriptions[Spent])</f>
        <v>599.41999999999996</v>
      </c>
      <c r="F26" s="246"/>
      <c r="G26" s="248">
        <f>SUBTOTAL(109,Subscriptions[Difference])</f>
        <v>0</v>
      </c>
    </row>
  </sheetData>
  <conditionalFormatting sqref="E6 G12:G13 G25">
    <cfRule type="cellIs" dxfId="14" priority="1" operator="lessThan">
      <formula>0</formula>
    </cfRule>
  </conditionalFormatting>
  <conditionalFormatting sqref="G19">
    <cfRule type="cellIs" dxfId="13" priority="4" operator="lessThan">
      <formula>0</formula>
    </cfRule>
  </conditionalFormatting>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B66F2-1EDF-084E-BE27-B26A0F674075}">
  <dimension ref="B2:G19"/>
  <sheetViews>
    <sheetView topLeftCell="A12" zoomScale="200" zoomScaleNormal="200" workbookViewId="0">
      <selection activeCell="C13" sqref="C13"/>
    </sheetView>
  </sheetViews>
  <sheetFormatPr defaultColWidth="11.19921875" defaultRowHeight="15.6" x14ac:dyDescent="0.3"/>
  <cols>
    <col min="2" max="2" width="25.5" style="5" bestFit="1" customWidth="1"/>
    <col min="3" max="6" width="20.796875" customWidth="1"/>
  </cols>
  <sheetData>
    <row r="2" spans="2:7" ht="25.8" x14ac:dyDescent="0.5">
      <c r="B2" s="172" t="s">
        <v>184</v>
      </c>
    </row>
    <row r="4" spans="2:7" ht="16.2" thickBot="1" x14ac:dyDescent="0.35">
      <c r="B4" s="173" t="s">
        <v>197</v>
      </c>
    </row>
    <row r="5" spans="2:7" ht="16.2" thickBot="1" x14ac:dyDescent="0.35">
      <c r="B5" s="174"/>
      <c r="C5" s="155" t="s">
        <v>9</v>
      </c>
      <c r="D5" s="148" t="s">
        <v>39</v>
      </c>
      <c r="E5" s="156" t="s">
        <v>177</v>
      </c>
    </row>
    <row r="6" spans="2:7" ht="16.8" thickTop="1" thickBot="1" x14ac:dyDescent="0.35">
      <c r="B6" s="175" t="s">
        <v>8</v>
      </c>
      <c r="C6" s="161">
        <f>SUM(Website[[#Totals],[Budget]],Newsletter[[#Totals],[Budget]])</f>
        <v>573.6</v>
      </c>
      <c r="D6" s="161">
        <f>SUM(Website[[#Totals],[Spent]],Newsletter[[#Totals],[Spent]])</f>
        <v>273.60000000000002</v>
      </c>
      <c r="E6" s="163">
        <f>C6-D6</f>
        <v>300</v>
      </c>
    </row>
    <row r="7" spans="2:7" ht="16.8" thickTop="1" thickBot="1" x14ac:dyDescent="0.35"/>
    <row r="8" spans="2:7" ht="16.8" thickTop="1" thickBot="1" x14ac:dyDescent="0.35">
      <c r="B8" s="232"/>
      <c r="C8" s="188"/>
      <c r="D8" s="188"/>
      <c r="E8" s="188"/>
    </row>
    <row r="9" spans="2:7" ht="16.2" thickTop="1" x14ac:dyDescent="0.3"/>
    <row r="10" spans="2:7" x14ac:dyDescent="0.3">
      <c r="B10" s="173" t="s">
        <v>20</v>
      </c>
    </row>
    <row r="11" spans="2:7" ht="16.2" thickBot="1" x14ac:dyDescent="0.35">
      <c r="B11" s="203" t="s">
        <v>200</v>
      </c>
      <c r="C11" s="249" t="s">
        <v>45</v>
      </c>
      <c r="D11" s="191" t="s">
        <v>9</v>
      </c>
      <c r="E11" s="192" t="s">
        <v>39</v>
      </c>
      <c r="F11" s="242" t="s">
        <v>225</v>
      </c>
      <c r="G11" s="197" t="s">
        <v>177</v>
      </c>
    </row>
    <row r="12" spans="2:7" ht="31.2" x14ac:dyDescent="0.3">
      <c r="B12" s="198" t="s">
        <v>192</v>
      </c>
      <c r="C12" s="5" t="s">
        <v>228</v>
      </c>
      <c r="D12" s="199">
        <v>273.60000000000002</v>
      </c>
      <c r="E12" s="200">
        <v>273.60000000000002</v>
      </c>
      <c r="F12" s="244" t="s">
        <v>226</v>
      </c>
      <c r="G12" s="201">
        <f>D12-E12</f>
        <v>0</v>
      </c>
    </row>
    <row r="13" spans="2:7" x14ac:dyDescent="0.3">
      <c r="B13" s="202" t="s">
        <v>8</v>
      </c>
      <c r="C13" s="202"/>
      <c r="D13" s="201">
        <f>SUBTOTAL(109,Website[Budget])</f>
        <v>273.60000000000002</v>
      </c>
      <c r="E13" s="201">
        <f>SUBTOTAL(109,Website[Spent])</f>
        <v>273.60000000000002</v>
      </c>
      <c r="F13" s="201"/>
      <c r="G13" s="201">
        <f>SUBTOTAL(109,Website[Difference])</f>
        <v>0</v>
      </c>
    </row>
    <row r="16" spans="2:7" x14ac:dyDescent="0.3">
      <c r="B16" s="173" t="s">
        <v>21</v>
      </c>
    </row>
    <row r="17" spans="2:7" ht="16.2" thickBot="1" x14ac:dyDescent="0.35">
      <c r="B17" s="203" t="s">
        <v>200</v>
      </c>
      <c r="C17" s="249" t="s">
        <v>45</v>
      </c>
      <c r="D17" s="191" t="s">
        <v>9</v>
      </c>
      <c r="E17" s="192" t="s">
        <v>39</v>
      </c>
      <c r="F17" s="242" t="s">
        <v>225</v>
      </c>
      <c r="G17" s="197" t="s">
        <v>177</v>
      </c>
    </row>
    <row r="18" spans="2:7" ht="31.2" x14ac:dyDescent="0.3">
      <c r="B18" s="198" t="s">
        <v>210</v>
      </c>
      <c r="C18" s="5" t="s">
        <v>229</v>
      </c>
      <c r="D18" s="199">
        <v>300</v>
      </c>
      <c r="E18" s="200">
        <v>0</v>
      </c>
      <c r="F18" s="244" t="s">
        <v>240</v>
      </c>
      <c r="G18" s="201">
        <f>D18-E18</f>
        <v>300</v>
      </c>
    </row>
    <row r="19" spans="2:7" x14ac:dyDescent="0.3">
      <c r="B19" s="202" t="s">
        <v>8</v>
      </c>
      <c r="C19" s="202"/>
      <c r="D19" s="201">
        <f>SUBTOTAL(109,Newsletter[Budget])</f>
        <v>300</v>
      </c>
      <c r="E19" s="201">
        <f>SUBTOTAL(109,Newsletter[Spent])</f>
        <v>0</v>
      </c>
      <c r="F19" s="201"/>
      <c r="G19" s="201">
        <f>SUBTOTAL(109,Newsletter[Difference])</f>
        <v>300</v>
      </c>
    </row>
  </sheetData>
  <conditionalFormatting sqref="E6">
    <cfRule type="cellIs" dxfId="12" priority="1" operator="lessThan">
      <formula>0</formula>
    </cfRule>
  </conditionalFormatting>
  <conditionalFormatting sqref="G12">
    <cfRule type="cellIs" dxfId="11" priority="3" operator="lessThan">
      <formula>0</formula>
    </cfRule>
  </conditionalFormatting>
  <conditionalFormatting sqref="G18">
    <cfRule type="cellIs" dxfId="10" priority="2" operator="lessThan">
      <formula>0</formula>
    </cfRule>
  </conditionalFormatting>
  <pageMargins left="0.7" right="0.7" top="0.75" bottom="0.75" header="0.3" footer="0.3"/>
  <pageSetup paperSize="9" orientation="landscape" horizontalDpi="0" verticalDpi="0"/>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ADB8-85C1-3941-9967-296C90D98AB7}">
  <dimension ref="B2:E9"/>
  <sheetViews>
    <sheetView zoomScale="200" zoomScaleNormal="200" workbookViewId="0">
      <selection activeCell="B6" sqref="B6"/>
    </sheetView>
  </sheetViews>
  <sheetFormatPr defaultColWidth="11.19921875" defaultRowHeight="15.6" x14ac:dyDescent="0.3"/>
  <cols>
    <col min="2" max="7" width="20.796875" customWidth="1"/>
  </cols>
  <sheetData>
    <row r="2" spans="2:5" ht="25.8" x14ac:dyDescent="0.5">
      <c r="B2" s="152" t="s">
        <v>19</v>
      </c>
    </row>
    <row r="3" spans="2:5" ht="16.2" thickBot="1" x14ac:dyDescent="0.35"/>
    <row r="4" spans="2:5" ht="16.2" thickBot="1" x14ac:dyDescent="0.35">
      <c r="B4" s="179" t="s">
        <v>200</v>
      </c>
      <c r="C4" s="180" t="s">
        <v>9</v>
      </c>
      <c r="D4" s="180" t="s">
        <v>39</v>
      </c>
      <c r="E4" s="181" t="s">
        <v>177</v>
      </c>
    </row>
    <row r="5" spans="2:5" ht="16.2" thickBot="1" x14ac:dyDescent="0.35">
      <c r="B5" s="182" t="s">
        <v>201</v>
      </c>
      <c r="C5" s="183">
        <v>295</v>
      </c>
      <c r="D5" s="183">
        <v>0</v>
      </c>
      <c r="E5" s="184">
        <f>C5-D5</f>
        <v>295</v>
      </c>
    </row>
    <row r="6" spans="2:5" ht="16.8" thickTop="1" thickBot="1" x14ac:dyDescent="0.35">
      <c r="B6" s="185" t="s">
        <v>8</v>
      </c>
      <c r="C6" s="186">
        <f>SUM(C5)</f>
        <v>295</v>
      </c>
      <c r="D6" s="186">
        <f>SUM(D5)</f>
        <v>0</v>
      </c>
      <c r="E6" s="187">
        <f>SUM(E5)</f>
        <v>295</v>
      </c>
    </row>
    <row r="7" spans="2:5" ht="16.8" thickTop="1" thickBot="1" x14ac:dyDescent="0.35">
      <c r="E7" t="s">
        <v>146</v>
      </c>
    </row>
    <row r="8" spans="2:5" ht="16.8" thickTop="1" thickBot="1" x14ac:dyDescent="0.35">
      <c r="B8" s="188"/>
      <c r="C8" s="188"/>
      <c r="D8" s="188"/>
      <c r="E8" s="188"/>
    </row>
    <row r="9" spans="2:5" ht="16.2" thickTop="1"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A80D0-1BC1-7444-BFE6-B35E595A99F6}">
  <dimension ref="B2:F25"/>
  <sheetViews>
    <sheetView topLeftCell="A18" zoomScale="200" zoomScaleNormal="200" workbookViewId="0">
      <selection activeCell="E22" sqref="E22"/>
    </sheetView>
  </sheetViews>
  <sheetFormatPr defaultColWidth="11.19921875" defaultRowHeight="15.6" x14ac:dyDescent="0.3"/>
  <cols>
    <col min="2" max="2" width="20.796875" style="5" customWidth="1"/>
    <col min="3" max="7" width="20.796875" customWidth="1"/>
  </cols>
  <sheetData>
    <row r="2" spans="2:5" ht="25.8" x14ac:dyDescent="0.5">
      <c r="B2" s="172" t="s">
        <v>179</v>
      </c>
    </row>
    <row r="4" spans="2:5" ht="16.2" thickBot="1" x14ac:dyDescent="0.35">
      <c r="B4" s="173" t="s">
        <v>197</v>
      </c>
    </row>
    <row r="5" spans="2:5" ht="16.2" thickBot="1" x14ac:dyDescent="0.35">
      <c r="B5" s="151"/>
      <c r="C5" s="155" t="s">
        <v>9</v>
      </c>
      <c r="D5" s="148" t="s">
        <v>39</v>
      </c>
      <c r="E5" s="156" t="s">
        <v>177</v>
      </c>
    </row>
    <row r="6" spans="2:5" ht="16.8" thickTop="1" thickBot="1" x14ac:dyDescent="0.35">
      <c r="B6" s="153" t="s">
        <v>8</v>
      </c>
      <c r="C6" s="161">
        <f>SUM(Materials[[#Totals],[Budget]],Contractors[[#Totals],[Budget]])</f>
        <v>1391.68</v>
      </c>
      <c r="D6" s="161">
        <f>SUM(Materials[[#Totals],[Spent]],Contractors[[#Totals],[Spent]])</f>
        <v>1043.68</v>
      </c>
      <c r="E6" s="161">
        <f>SUM(Materials[[#Totals],[Difference]],Contractors[[#Totals],[Difference]])</f>
        <v>348</v>
      </c>
    </row>
    <row r="7" spans="2:5" ht="16.8" thickTop="1" thickBot="1" x14ac:dyDescent="0.35">
      <c r="B7"/>
    </row>
    <row r="8" spans="2:5" ht="16.8" thickTop="1" thickBot="1" x14ac:dyDescent="0.35">
      <c r="B8" s="188"/>
      <c r="C8" s="188"/>
      <c r="D8" s="188"/>
      <c r="E8" s="188"/>
    </row>
    <row r="9" spans="2:5" ht="16.2" thickTop="1" x14ac:dyDescent="0.3"/>
    <row r="11" spans="2:5" x14ac:dyDescent="0.3">
      <c r="B11" s="173" t="s">
        <v>180</v>
      </c>
    </row>
    <row r="12" spans="2:5" ht="16.2" thickBot="1" x14ac:dyDescent="0.35">
      <c r="B12" s="203" t="s">
        <v>200</v>
      </c>
      <c r="C12" s="191" t="s">
        <v>9</v>
      </c>
      <c r="D12" s="192" t="s">
        <v>39</v>
      </c>
      <c r="E12" s="193" t="s">
        <v>177</v>
      </c>
    </row>
    <row r="13" spans="2:5" x14ac:dyDescent="0.3">
      <c r="B13" s="196" t="s">
        <v>204</v>
      </c>
      <c r="C13" s="157">
        <v>0</v>
      </c>
      <c r="D13" s="133">
        <v>0</v>
      </c>
      <c r="E13" s="158">
        <f>Materials[[#This Row],[Budget]]-Materials[[#This Row],[Spent]]</f>
        <v>0</v>
      </c>
    </row>
    <row r="14" spans="2:5" x14ac:dyDescent="0.3">
      <c r="B14" s="5" t="s">
        <v>205</v>
      </c>
      <c r="C14" s="194">
        <f>SUM(C13:C13)</f>
        <v>0</v>
      </c>
      <c r="D14" s="133">
        <f>SUM(D13:D13)</f>
        <v>0</v>
      </c>
      <c r="E14" s="158">
        <f>Materials[[#This Row],[Budget]]-Materials[[#This Row],[Spent]]</f>
        <v>0</v>
      </c>
    </row>
    <row r="15" spans="2:5" x14ac:dyDescent="0.3">
      <c r="B15" s="5" t="s">
        <v>206</v>
      </c>
      <c r="C15" s="194">
        <f>SUM(C14:C14)</f>
        <v>0</v>
      </c>
      <c r="D15" s="133">
        <f>SUM(D14:D14)</f>
        <v>0</v>
      </c>
      <c r="E15" s="158">
        <f>Materials[[#This Row],[Budget]]-Materials[[#This Row],[Spent]]</f>
        <v>0</v>
      </c>
    </row>
    <row r="16" spans="2:5" x14ac:dyDescent="0.3">
      <c r="B16" t="s">
        <v>8</v>
      </c>
      <c r="C16" s="162">
        <f>SUBTOTAL(109,Materials[Budget])</f>
        <v>0</v>
      </c>
      <c r="D16" s="162">
        <f>SUBTOTAL(109,Materials[Spent])</f>
        <v>0</v>
      </c>
      <c r="E16" s="162">
        <f>SUBTOTAL(109,Materials[Difference])</f>
        <v>0</v>
      </c>
    </row>
    <row r="19" spans="2:6" x14ac:dyDescent="0.3">
      <c r="B19" s="173" t="s">
        <v>181</v>
      </c>
    </row>
    <row r="20" spans="2:6" ht="16.2" thickBot="1" x14ac:dyDescent="0.35">
      <c r="B20" s="203" t="s">
        <v>200</v>
      </c>
      <c r="C20" s="191" t="s">
        <v>9</v>
      </c>
      <c r="D20" s="192" t="s">
        <v>39</v>
      </c>
      <c r="E20" t="s">
        <v>225</v>
      </c>
      <c r="F20" s="193" t="s">
        <v>177</v>
      </c>
    </row>
    <row r="21" spans="2:6" ht="31.2" x14ac:dyDescent="0.3">
      <c r="B21" s="196" t="s">
        <v>202</v>
      </c>
      <c r="C21" s="157">
        <v>1080</v>
      </c>
      <c r="D21" s="133">
        <v>810</v>
      </c>
      <c r="E21" s="243" t="s">
        <v>232</v>
      </c>
      <c r="F21" s="158">
        <f>Contractors[[#This Row],[Budget]]-Contractors[[#This Row],[Spent]]</f>
        <v>270</v>
      </c>
    </row>
    <row r="22" spans="2:6" x14ac:dyDescent="0.3">
      <c r="B22" s="196" t="s">
        <v>182</v>
      </c>
      <c r="C22" s="157">
        <v>78</v>
      </c>
      <c r="D22" s="133">
        <v>0</v>
      </c>
      <c r="E22" s="243" t="s">
        <v>238</v>
      </c>
      <c r="F22" s="158">
        <f>Contractors[[#This Row],[Budget]]-Contractors[[#This Row],[Spent]]</f>
        <v>78</v>
      </c>
    </row>
    <row r="23" spans="2:6" x14ac:dyDescent="0.3">
      <c r="B23" s="196" t="s">
        <v>203</v>
      </c>
      <c r="C23" s="157">
        <v>233.68</v>
      </c>
      <c r="D23" s="133">
        <v>233.68</v>
      </c>
      <c r="E23" s="243" t="s">
        <v>238</v>
      </c>
      <c r="F23" s="158">
        <f>Contractors[[#This Row],[Budget]]-Contractors[[#This Row],[Spent]]</f>
        <v>0</v>
      </c>
    </row>
    <row r="24" spans="2:6" ht="31.2" x14ac:dyDescent="0.3">
      <c r="B24" s="5" t="s">
        <v>183</v>
      </c>
      <c r="C24" s="194">
        <v>0</v>
      </c>
      <c r="D24" s="133">
        <v>0</v>
      </c>
      <c r="E24" s="243"/>
      <c r="F24" s="158">
        <f>Contractors[[#This Row],[Budget]]-Contractors[[#This Row],[Spent]]</f>
        <v>0</v>
      </c>
    </row>
    <row r="25" spans="2:6" x14ac:dyDescent="0.3">
      <c r="B25" t="s">
        <v>8</v>
      </c>
      <c r="C25" s="162">
        <f>SUBTOTAL(109,Contractors[Budget])</f>
        <v>1391.68</v>
      </c>
      <c r="D25" s="162">
        <f>SUBTOTAL(109,Contractors[Spent])</f>
        <v>1043.68</v>
      </c>
      <c r="E25" s="162"/>
      <c r="F25" s="162">
        <f>SUBTOTAL(109,Contractors[Difference])</f>
        <v>348</v>
      </c>
    </row>
  </sheetData>
  <conditionalFormatting sqref="E13:E15">
    <cfRule type="cellIs" dxfId="9" priority="1" operator="lessThan">
      <formula>0</formula>
    </cfRule>
  </conditionalFormatting>
  <conditionalFormatting sqref="F21:F24">
    <cfRule type="cellIs" dxfId="8" priority="5" operator="lessThan">
      <formula>0</formula>
    </cfRule>
  </conditionalFormatting>
  <pageMargins left="0.7" right="0.7" top="0.75" bottom="0.75" header="0.3" footer="0.3"/>
  <ignoredErrors>
    <ignoredError sqref="C21:C24 D22:D24 C13:D13" calculatedColumn="1"/>
  </ignoredErrors>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846DA-68E7-684E-B64E-5BF49D838DA6}">
  <dimension ref="B2:E9"/>
  <sheetViews>
    <sheetView topLeftCell="A2" zoomScale="200" zoomScaleNormal="200" workbookViewId="0">
      <selection activeCell="C11" sqref="C11"/>
    </sheetView>
  </sheetViews>
  <sheetFormatPr defaultColWidth="11.19921875" defaultRowHeight="15.6" x14ac:dyDescent="0.3"/>
  <cols>
    <col min="2" max="7" width="20.796875" customWidth="1"/>
  </cols>
  <sheetData>
    <row r="2" spans="2:5" ht="25.8" x14ac:dyDescent="0.5">
      <c r="B2" s="152" t="s">
        <v>26</v>
      </c>
    </row>
    <row r="3" spans="2:5" ht="16.2" thickBot="1" x14ac:dyDescent="0.35"/>
    <row r="4" spans="2:5" ht="16.2" thickBot="1" x14ac:dyDescent="0.35">
      <c r="B4" s="151"/>
      <c r="C4" s="155" t="s">
        <v>9</v>
      </c>
      <c r="D4" s="148" t="s">
        <v>39</v>
      </c>
      <c r="E4" s="156" t="s">
        <v>177</v>
      </c>
    </row>
    <row r="5" spans="2:5" x14ac:dyDescent="0.3">
      <c r="B5" s="154" t="s">
        <v>198</v>
      </c>
      <c r="C5" s="157">
        <v>0</v>
      </c>
      <c r="D5" s="133">
        <v>524.76</v>
      </c>
      <c r="E5" s="158">
        <f>C5-D5</f>
        <v>-524.76</v>
      </c>
    </row>
    <row r="6" spans="2:5" x14ac:dyDescent="0.3">
      <c r="B6" s="254" t="s">
        <v>246</v>
      </c>
      <c r="C6" s="199">
        <v>0</v>
      </c>
      <c r="D6" s="200">
        <v>400</v>
      </c>
      <c r="E6" s="158">
        <f>C6-D6</f>
        <v>-400</v>
      </c>
    </row>
    <row r="7" spans="2:5" ht="16.2" thickBot="1" x14ac:dyDescent="0.35">
      <c r="B7" s="254" t="s">
        <v>247</v>
      </c>
      <c r="C7" s="199">
        <v>0</v>
      </c>
      <c r="D7" s="200">
        <v>950</v>
      </c>
      <c r="E7" s="158">
        <f>C7-D7</f>
        <v>-950</v>
      </c>
    </row>
    <row r="8" spans="2:5" ht="16.8" thickTop="1" thickBot="1" x14ac:dyDescent="0.35">
      <c r="B8" s="153" t="s">
        <v>8</v>
      </c>
      <c r="C8" s="161">
        <f>SUM(C5:C5)</f>
        <v>0</v>
      </c>
      <c r="D8" s="161">
        <f>SUM(D5:D7)</f>
        <v>1874.76</v>
      </c>
      <c r="E8" s="163">
        <f>C8-D8</f>
        <v>-1874.76</v>
      </c>
    </row>
    <row r="9" spans="2:5" ht="16.2" thickTop="1" x14ac:dyDescent="0.3"/>
  </sheetData>
  <conditionalFormatting sqref="E5:E8">
    <cfRule type="cellIs" dxfId="7" priority="1"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4C8F-CE8F-3A44-83BF-F5513D7173B5}">
  <dimension ref="B2:G23"/>
  <sheetViews>
    <sheetView topLeftCell="A2" zoomScale="200" zoomScaleNormal="200" workbookViewId="0">
      <selection activeCell="J39" sqref="J39"/>
    </sheetView>
  </sheetViews>
  <sheetFormatPr defaultColWidth="11.19921875" defaultRowHeight="15.6" x14ac:dyDescent="0.3"/>
  <cols>
    <col min="2" max="7" width="20.796875" customWidth="1"/>
  </cols>
  <sheetData>
    <row r="2" spans="2:7" ht="25.8" x14ac:dyDescent="0.5">
      <c r="B2" s="152" t="s">
        <v>199</v>
      </c>
    </row>
    <row r="3" spans="2:7" ht="16.2" thickBot="1" x14ac:dyDescent="0.35"/>
    <row r="4" spans="2:7" ht="16.2" thickBot="1" x14ac:dyDescent="0.35">
      <c r="B4" s="151"/>
      <c r="C4" s="155" t="s">
        <v>9</v>
      </c>
      <c r="D4" s="148" t="s">
        <v>39</v>
      </c>
      <c r="E4" s="156" t="s">
        <v>177</v>
      </c>
    </row>
    <row r="5" spans="2:7" ht="16.8" thickTop="1" thickBot="1" x14ac:dyDescent="0.35">
      <c r="B5" s="153" t="s">
        <v>8</v>
      </c>
      <c r="C5" s="161">
        <f>SUM(VAS[[#Totals],[Budget]],Play_Area[[#Totals],[Budget]],Grants_Donations[[#Totals],[Budget]])</f>
        <v>50</v>
      </c>
      <c r="D5" s="161">
        <f>SUM(VAS[[#Totals],[Spent]],Play_Area[[#Totals],[Spent]],Grants_Donations[[#Totals],[Spent]])</f>
        <v>0</v>
      </c>
      <c r="E5" s="163">
        <f>C5-D5</f>
        <v>50</v>
      </c>
    </row>
    <row r="6" spans="2:7" ht="16.2" thickTop="1" x14ac:dyDescent="0.3"/>
    <row r="8" spans="2:7" x14ac:dyDescent="0.3">
      <c r="B8" s="8" t="s">
        <v>28</v>
      </c>
    </row>
    <row r="9" spans="2:7" ht="16.2" thickBot="1" x14ac:dyDescent="0.35">
      <c r="B9" s="203" t="s">
        <v>200</v>
      </c>
      <c r="C9" s="191" t="s">
        <v>9</v>
      </c>
      <c r="D9" s="192" t="s">
        <v>39</v>
      </c>
      <c r="E9" s="193" t="s">
        <v>177</v>
      </c>
    </row>
    <row r="10" spans="2:7" x14ac:dyDescent="0.3">
      <c r="B10" s="196" t="s">
        <v>211</v>
      </c>
      <c r="C10" s="157">
        <v>50</v>
      </c>
      <c r="D10" s="133">
        <v>0</v>
      </c>
      <c r="E10" s="158">
        <f>VAS[[#This Row],[Budget]]-VAS[[#This Row],[Spent]]</f>
        <v>50</v>
      </c>
    </row>
    <row r="11" spans="2:7" x14ac:dyDescent="0.3">
      <c r="B11" t="s">
        <v>8</v>
      </c>
      <c r="C11" s="162">
        <f>SUBTOTAL(109,VAS[Budget])</f>
        <v>50</v>
      </c>
      <c r="D11" s="162">
        <f>SUBTOTAL(109,VAS[Spent])</f>
        <v>0</v>
      </c>
      <c r="E11" s="162">
        <f>SUBTOTAL(109,VAS[Difference])</f>
        <v>50</v>
      </c>
    </row>
    <row r="13" spans="2:7" x14ac:dyDescent="0.3">
      <c r="G13" s="194"/>
    </row>
    <row r="14" spans="2:7" x14ac:dyDescent="0.3">
      <c r="B14" s="8" t="s">
        <v>212</v>
      </c>
      <c r="G14" s="194"/>
    </row>
    <row r="15" spans="2:7" ht="16.2" thickBot="1" x14ac:dyDescent="0.35">
      <c r="B15" s="203" t="s">
        <v>200</v>
      </c>
      <c r="C15" s="191" t="s">
        <v>9</v>
      </c>
      <c r="D15" s="192" t="s">
        <v>39</v>
      </c>
      <c r="E15" s="193" t="s">
        <v>177</v>
      </c>
    </row>
    <row r="16" spans="2:7" x14ac:dyDescent="0.3">
      <c r="B16" s="196" t="s">
        <v>201</v>
      </c>
      <c r="C16" s="157">
        <v>0</v>
      </c>
      <c r="D16" s="133">
        <v>0</v>
      </c>
      <c r="E16" s="158">
        <f>Play_Area[[#This Row],[Budget]]-Play_Area[[#This Row],[Spent]]</f>
        <v>0</v>
      </c>
    </row>
    <row r="17" spans="2:5" x14ac:dyDescent="0.3">
      <c r="B17" t="s">
        <v>8</v>
      </c>
      <c r="C17" s="162">
        <f>SUBTOTAL(109,Play_Area[Budget])</f>
        <v>0</v>
      </c>
      <c r="D17" s="162">
        <f>SUBTOTAL(109,Play_Area[Spent])</f>
        <v>0</v>
      </c>
      <c r="E17" s="162">
        <f>SUBTOTAL(109,Play_Area[Difference])</f>
        <v>0</v>
      </c>
    </row>
    <row r="20" spans="2:5" x14ac:dyDescent="0.3">
      <c r="B20" s="8" t="s">
        <v>191</v>
      </c>
    </row>
    <row r="21" spans="2:5" ht="16.2" thickBot="1" x14ac:dyDescent="0.35">
      <c r="B21" s="203" t="s">
        <v>200</v>
      </c>
      <c r="C21" s="191" t="s">
        <v>9</v>
      </c>
      <c r="D21" s="192" t="s">
        <v>39</v>
      </c>
      <c r="E21" s="193" t="s">
        <v>177</v>
      </c>
    </row>
    <row r="22" spans="2:5" x14ac:dyDescent="0.3">
      <c r="B22" s="196" t="s">
        <v>201</v>
      </c>
      <c r="C22" s="157">
        <v>0</v>
      </c>
      <c r="D22" s="133">
        <v>0</v>
      </c>
      <c r="E22" s="158">
        <f>Grants_Donations[[#This Row],[Budget]]-Grants_Donations[[#This Row],[Spent]]</f>
        <v>0</v>
      </c>
    </row>
    <row r="23" spans="2:5" x14ac:dyDescent="0.3">
      <c r="B23" t="s">
        <v>8</v>
      </c>
      <c r="C23" s="162">
        <f>SUBTOTAL(109,Grants_Donations[Budget])</f>
        <v>0</v>
      </c>
      <c r="D23" s="162">
        <f>SUBTOTAL(109,Grants_Donations[Spent])</f>
        <v>0</v>
      </c>
      <c r="E23" s="162">
        <f>SUBTOTAL(109,Grants_Donations[Difference])</f>
        <v>0</v>
      </c>
    </row>
  </sheetData>
  <conditionalFormatting sqref="E5">
    <cfRule type="cellIs" dxfId="6" priority="4" operator="lessThan">
      <formula>0</formula>
    </cfRule>
  </conditionalFormatting>
  <conditionalFormatting sqref="E10">
    <cfRule type="cellIs" dxfId="5" priority="3" operator="lessThan">
      <formula>0</formula>
    </cfRule>
  </conditionalFormatting>
  <conditionalFormatting sqref="E16">
    <cfRule type="cellIs" dxfId="4" priority="2" operator="lessThan">
      <formula>0</formula>
    </cfRule>
  </conditionalFormatting>
  <conditionalFormatting sqref="E22">
    <cfRule type="cellIs" dxfId="3" priority="1" operator="lessThan">
      <formula>0</formula>
    </cfRule>
  </conditionalFormatting>
  <pageMargins left="0.7" right="0.7" top="0.75" bottom="0.75" header="0.3" footer="0.3"/>
  <ignoredErrors>
    <ignoredError sqref="C10:D10" calculatedColumn="1"/>
  </ignoredErrors>
  <tableParts count="3">
    <tablePart r:id="rId1"/>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BF592-A3DA-B84B-B2A9-D28B3FA191FD}">
  <dimension ref="B2:E17"/>
  <sheetViews>
    <sheetView zoomScale="200" zoomScaleNormal="200" workbookViewId="0">
      <selection activeCell="J38" sqref="J38"/>
    </sheetView>
  </sheetViews>
  <sheetFormatPr defaultColWidth="11.19921875" defaultRowHeight="15.6" x14ac:dyDescent="0.3"/>
  <cols>
    <col min="2" max="2" width="20.796875" style="5" customWidth="1"/>
    <col min="3" max="7" width="20.796875" customWidth="1"/>
  </cols>
  <sheetData>
    <row r="2" spans="2:5" ht="25.8" x14ac:dyDescent="0.5">
      <c r="B2" s="172" t="s">
        <v>196</v>
      </c>
    </row>
    <row r="4" spans="2:5" ht="16.2" thickBot="1" x14ac:dyDescent="0.35">
      <c r="B4" s="173" t="s">
        <v>197</v>
      </c>
    </row>
    <row r="5" spans="2:5" ht="16.2" thickBot="1" x14ac:dyDescent="0.35">
      <c r="B5" s="151"/>
      <c r="C5" s="155" t="s">
        <v>9</v>
      </c>
      <c r="D5" s="148" t="s">
        <v>39</v>
      </c>
      <c r="E5" s="156" t="s">
        <v>177</v>
      </c>
    </row>
    <row r="6" spans="2:5" ht="16.2" thickBot="1" x14ac:dyDescent="0.35">
      <c r="B6" s="154" t="s">
        <v>196</v>
      </c>
      <c r="C6" s="157">
        <v>3264</v>
      </c>
      <c r="D6" s="133">
        <f>C16</f>
        <v>1360</v>
      </c>
      <c r="E6" s="158">
        <f>C6-D6</f>
        <v>1904</v>
      </c>
    </row>
    <row r="7" spans="2:5" ht="16.8" thickTop="1" thickBot="1" x14ac:dyDescent="0.35">
      <c r="B7" s="153" t="s">
        <v>8</v>
      </c>
      <c r="C7" s="161">
        <f>SUM(C6:C6)</f>
        <v>3264</v>
      </c>
      <c r="D7" s="161">
        <f>SUM(D6:D6)</f>
        <v>1360</v>
      </c>
      <c r="E7" s="163">
        <f>C7-D7</f>
        <v>1904</v>
      </c>
    </row>
    <row r="8" spans="2:5" ht="16.2" thickTop="1" x14ac:dyDescent="0.3"/>
    <row r="11" spans="2:5" ht="16.2" thickBot="1" x14ac:dyDescent="0.35">
      <c r="B11" s="173" t="s">
        <v>145</v>
      </c>
    </row>
    <row r="12" spans="2:5" ht="16.2" thickBot="1" x14ac:dyDescent="0.35">
      <c r="B12" s="155" t="s">
        <v>43</v>
      </c>
      <c r="C12" s="148" t="s">
        <v>39</v>
      </c>
    </row>
    <row r="13" spans="2:5" ht="16.2" thickBot="1" x14ac:dyDescent="0.35">
      <c r="B13" s="177">
        <v>45901</v>
      </c>
      <c r="C13" s="176">
        <v>816</v>
      </c>
    </row>
    <row r="14" spans="2:5" ht="16.2" thickBot="1" x14ac:dyDescent="0.35">
      <c r="B14" s="177">
        <v>45964</v>
      </c>
      <c r="C14" s="176">
        <v>272</v>
      </c>
    </row>
    <row r="15" spans="2:5" ht="16.2" thickBot="1" x14ac:dyDescent="0.35">
      <c r="B15" s="177">
        <v>45964</v>
      </c>
      <c r="C15" s="176">
        <v>272</v>
      </c>
    </row>
    <row r="16" spans="2:5" ht="16.8" thickTop="1" thickBot="1" x14ac:dyDescent="0.35">
      <c r="B16" s="153" t="s">
        <v>8</v>
      </c>
      <c r="C16" s="178">
        <f>SUM(C13:C15)</f>
        <v>1360</v>
      </c>
    </row>
    <row r="17" ht="16.2" thickTop="1" x14ac:dyDescent="0.3"/>
  </sheetData>
  <conditionalFormatting sqref="E6:E7">
    <cfRule type="cellIs" dxfId="2" priority="2"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B583-B0F6-FB43-9754-405186A5D467}">
  <dimension ref="A1:E5"/>
  <sheetViews>
    <sheetView zoomScale="200" zoomScaleNormal="200" workbookViewId="0">
      <selection activeCell="J25" sqref="J25"/>
    </sheetView>
  </sheetViews>
  <sheetFormatPr defaultColWidth="10.796875" defaultRowHeight="14.4" x14ac:dyDescent="0.3"/>
  <cols>
    <col min="1" max="256" width="8.796875" style="15" customWidth="1"/>
    <col min="257" max="16384" width="10.796875" style="15"/>
  </cols>
  <sheetData>
    <row r="1" spans="1:5" x14ac:dyDescent="0.3">
      <c r="A1" s="15" t="s">
        <v>143</v>
      </c>
    </row>
    <row r="2" spans="1:5" x14ac:dyDescent="0.3">
      <c r="A2" s="15" t="s">
        <v>142</v>
      </c>
      <c r="E2" s="15" t="s">
        <v>141</v>
      </c>
    </row>
    <row r="3" spans="1:5" x14ac:dyDescent="0.3">
      <c r="A3" s="15" t="s">
        <v>140</v>
      </c>
    </row>
    <row r="5" spans="1:5" x14ac:dyDescent="0.3">
      <c r="A5" s="15" t="s">
        <v>139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495-8E05-4442-AC57-9114CB6CE2F9}">
  <dimension ref="A2:E18"/>
  <sheetViews>
    <sheetView tabSelected="1" zoomScaleNormal="100" workbookViewId="0">
      <selection activeCell="C19" sqref="C19"/>
    </sheetView>
  </sheetViews>
  <sheetFormatPr defaultColWidth="10.796875" defaultRowHeight="14.4" x14ac:dyDescent="0.3"/>
  <cols>
    <col min="1" max="1" width="8.796875" style="15" customWidth="1"/>
    <col min="2" max="2" width="44.69921875" style="15" customWidth="1"/>
    <col min="3" max="3" width="21.19921875" style="15" customWidth="1"/>
    <col min="4" max="256" width="8.796875" style="15" customWidth="1"/>
    <col min="257" max="16384" width="10.796875" style="15"/>
  </cols>
  <sheetData>
    <row r="2" spans="1:5" ht="15.6" x14ac:dyDescent="0.3">
      <c r="A2" s="90" t="s">
        <v>259</v>
      </c>
      <c r="B2" s="84"/>
      <c r="C2" s="84"/>
    </row>
    <row r="3" spans="1:5" ht="15.6" x14ac:dyDescent="0.3">
      <c r="A3" s="90"/>
      <c r="B3" s="84"/>
      <c r="C3" s="84"/>
    </row>
    <row r="4" spans="1:5" ht="15.6" x14ac:dyDescent="0.3">
      <c r="A4" s="89"/>
      <c r="B4" s="82" t="s">
        <v>260</v>
      </c>
      <c r="C4" s="88">
        <v>2397.7600000000002</v>
      </c>
      <c r="D4" s="79"/>
    </row>
    <row r="5" spans="1:5" ht="15.6" x14ac:dyDescent="0.3">
      <c r="A5" s="87" t="s">
        <v>135</v>
      </c>
      <c r="B5" s="82" t="s">
        <v>265</v>
      </c>
      <c r="C5" s="82">
        <v>8846.06</v>
      </c>
    </row>
    <row r="6" spans="1:5" ht="15.6" x14ac:dyDescent="0.3">
      <c r="A6" s="86"/>
      <c r="B6" s="82" t="s">
        <v>138</v>
      </c>
      <c r="C6" s="82">
        <v>0</v>
      </c>
    </row>
    <row r="7" spans="1:5" ht="15.6" x14ac:dyDescent="0.3">
      <c r="A7" s="85"/>
      <c r="B7" s="80" t="s">
        <v>137</v>
      </c>
      <c r="C7" s="258">
        <f>SUM(C4:C6)</f>
        <v>11243.82</v>
      </c>
    </row>
    <row r="8" spans="1:5" ht="15.6" x14ac:dyDescent="0.3">
      <c r="A8" s="84"/>
      <c r="B8" s="84"/>
      <c r="C8" s="84"/>
    </row>
    <row r="9" spans="1:5" ht="15.6" x14ac:dyDescent="0.3">
      <c r="A9" s="82"/>
      <c r="B9" s="82" t="s">
        <v>136</v>
      </c>
      <c r="C9" s="83">
        <v>8100.48</v>
      </c>
      <c r="D9" s="79"/>
      <c r="E9" s="79"/>
    </row>
    <row r="10" spans="1:5" ht="15.6" x14ac:dyDescent="0.3">
      <c r="A10" s="81" t="s">
        <v>135</v>
      </c>
      <c r="B10" s="82" t="s">
        <v>114</v>
      </c>
      <c r="C10" s="82">
        <f>Receipt!D23</f>
        <v>21854.649999999998</v>
      </c>
    </row>
    <row r="11" spans="1:5" ht="15.6" x14ac:dyDescent="0.3">
      <c r="A11" s="81" t="s">
        <v>135</v>
      </c>
      <c r="B11" s="82" t="s">
        <v>134</v>
      </c>
      <c r="C11" s="82">
        <f>Bus.AC!E21</f>
        <v>76.67</v>
      </c>
    </row>
    <row r="12" spans="1:5" ht="15.6" x14ac:dyDescent="0.3">
      <c r="A12" s="81" t="s">
        <v>133</v>
      </c>
      <c r="B12" s="82" t="s">
        <v>264</v>
      </c>
      <c r="C12" s="82">
        <f>-Payments!E71</f>
        <v>-18787.98</v>
      </c>
    </row>
    <row r="13" spans="1:5" ht="15.6" x14ac:dyDescent="0.3">
      <c r="A13" s="81"/>
      <c r="B13" s="80" t="s">
        <v>256</v>
      </c>
      <c r="C13" s="258">
        <f>SUM(C9:C12)</f>
        <v>11243.819999999996</v>
      </c>
    </row>
    <row r="14" spans="1:5" x14ac:dyDescent="0.3">
      <c r="C14" s="79"/>
    </row>
    <row r="15" spans="1:5" x14ac:dyDescent="0.3">
      <c r="A15" s="76"/>
      <c r="B15" s="76"/>
      <c r="C15" s="78"/>
    </row>
    <row r="16" spans="1:5" x14ac:dyDescent="0.3">
      <c r="A16" s="76"/>
      <c r="B16" s="75" t="s">
        <v>132</v>
      </c>
      <c r="C16" s="77"/>
    </row>
    <row r="17" spans="1:3" x14ac:dyDescent="0.3">
      <c r="A17" s="76"/>
      <c r="B17" s="75"/>
      <c r="C17" s="75"/>
    </row>
    <row r="18" spans="1:3" x14ac:dyDescent="0.3">
      <c r="B18" s="73" t="s">
        <v>258</v>
      </c>
      <c r="C18" s="73"/>
    </row>
  </sheetData>
  <pageMargins left="0.7" right="0.7" top="0.75" bottom="0.75" header="0.3" footer="0.3"/>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A3B2-1CEF-D840-8062-152BF2B67EA9}">
  <dimension ref="B2:F28"/>
  <sheetViews>
    <sheetView zoomScale="200" zoomScaleNormal="200" workbookViewId="0">
      <selection activeCell="G8" sqref="G8"/>
    </sheetView>
  </sheetViews>
  <sheetFormatPr defaultColWidth="11.19921875" defaultRowHeight="15.6" x14ac:dyDescent="0.3"/>
  <cols>
    <col min="2" max="2" width="23.796875" bestFit="1" customWidth="1"/>
    <col min="3" max="6" width="20.796875" customWidth="1"/>
  </cols>
  <sheetData>
    <row r="2" spans="2:6" ht="21.6" thickBot="1" x14ac:dyDescent="0.45">
      <c r="B2" s="10" t="s">
        <v>40</v>
      </c>
    </row>
    <row r="3" spans="2:6" ht="16.2" thickBot="1" x14ac:dyDescent="0.35">
      <c r="B3" s="115" t="s">
        <v>178</v>
      </c>
      <c r="C3" s="116" t="s">
        <v>9</v>
      </c>
      <c r="D3" s="117" t="s">
        <v>10</v>
      </c>
      <c r="E3" s="118" t="s">
        <v>2</v>
      </c>
      <c r="F3" s="119" t="s">
        <v>41</v>
      </c>
    </row>
    <row r="4" spans="2:6" x14ac:dyDescent="0.3">
      <c r="B4" s="120" t="s">
        <v>11</v>
      </c>
      <c r="C4" s="98">
        <f>5600+162.01+500+5+94.16-4.25</f>
        <v>6356.92</v>
      </c>
      <c r="D4" s="99">
        <v>5857.14</v>
      </c>
      <c r="E4" s="99">
        <f t="shared" ref="E4:E27" si="0">C4-D4</f>
        <v>499.77999999999975</v>
      </c>
      <c r="F4" s="121">
        <f>IFERROR(IF(ERROR.TYPE(D4/C4)=2,1,D4/C4),D4/C4)</f>
        <v>0.9213801652372533</v>
      </c>
    </row>
    <row r="5" spans="2:6" x14ac:dyDescent="0.3">
      <c r="B5" s="122" t="s">
        <v>12</v>
      </c>
      <c r="C5" s="100">
        <f>300+89.71</f>
        <v>389.71</v>
      </c>
      <c r="D5" s="101">
        <v>148.80000000000001</v>
      </c>
      <c r="E5" s="101">
        <f t="shared" si="0"/>
        <v>240.90999999999997</v>
      </c>
      <c r="F5" s="121">
        <f t="shared" ref="F5:F26" si="1">IFERROR(IF(ERROR.TYPE(D5/C5)=2,1,D5/C5),D5/C5)</f>
        <v>0.38182238074465635</v>
      </c>
    </row>
    <row r="6" spans="2:6" x14ac:dyDescent="0.3">
      <c r="B6" s="122" t="s">
        <v>13</v>
      </c>
      <c r="C6" s="100">
        <v>117.93</v>
      </c>
      <c r="D6" s="101">
        <v>124.31</v>
      </c>
      <c r="E6" s="101">
        <f t="shared" si="0"/>
        <v>-6.3799999999999955</v>
      </c>
      <c r="F6" s="121">
        <f t="shared" si="1"/>
        <v>1.0540998897651148</v>
      </c>
    </row>
    <row r="7" spans="2:6" x14ac:dyDescent="0.3">
      <c r="B7" s="122" t="s">
        <v>14</v>
      </c>
      <c r="C7" s="100">
        <v>63</v>
      </c>
      <c r="D7" s="101">
        <v>42</v>
      </c>
      <c r="E7" s="101">
        <f t="shared" si="0"/>
        <v>21</v>
      </c>
      <c r="F7" s="121">
        <f t="shared" si="1"/>
        <v>0.66666666666666663</v>
      </c>
    </row>
    <row r="8" spans="2:6" x14ac:dyDescent="0.3">
      <c r="B8" s="122" t="s">
        <v>15</v>
      </c>
      <c r="C8" s="100">
        <v>599.41999999999996</v>
      </c>
      <c r="D8" s="101">
        <v>599.41999999999996</v>
      </c>
      <c r="E8" s="101">
        <f t="shared" si="0"/>
        <v>0</v>
      </c>
      <c r="F8" s="121">
        <f t="shared" si="1"/>
        <v>1</v>
      </c>
    </row>
    <row r="9" spans="2:6" x14ac:dyDescent="0.3">
      <c r="B9" s="122" t="s">
        <v>16</v>
      </c>
      <c r="C9" s="100">
        <v>418.46</v>
      </c>
      <c r="D9" s="101">
        <v>418.46</v>
      </c>
      <c r="E9" s="101">
        <f t="shared" si="0"/>
        <v>0</v>
      </c>
      <c r="F9" s="121">
        <f t="shared" si="1"/>
        <v>1</v>
      </c>
    </row>
    <row r="10" spans="2:6" x14ac:dyDescent="0.3">
      <c r="B10" s="122" t="s">
        <v>17</v>
      </c>
      <c r="C10" s="100">
        <v>420</v>
      </c>
      <c r="D10" s="101">
        <v>420</v>
      </c>
      <c r="E10" s="101">
        <f t="shared" si="0"/>
        <v>0</v>
      </c>
      <c r="F10" s="121">
        <f t="shared" si="1"/>
        <v>1</v>
      </c>
    </row>
    <row r="11" spans="2:6" x14ac:dyDescent="0.3">
      <c r="B11" s="122" t="s">
        <v>18</v>
      </c>
      <c r="C11" s="100">
        <v>0</v>
      </c>
      <c r="D11" s="101">
        <v>0</v>
      </c>
      <c r="E11" s="101">
        <f t="shared" si="0"/>
        <v>0</v>
      </c>
      <c r="F11" s="121">
        <f t="shared" si="1"/>
        <v>1</v>
      </c>
    </row>
    <row r="12" spans="2:6" x14ac:dyDescent="0.3">
      <c r="B12" s="122" t="s">
        <v>19</v>
      </c>
      <c r="C12" s="100">
        <f>500-205</f>
        <v>295</v>
      </c>
      <c r="D12" s="101">
        <v>0</v>
      </c>
      <c r="E12" s="101">
        <f t="shared" si="0"/>
        <v>295</v>
      </c>
      <c r="F12" s="121">
        <f t="shared" si="1"/>
        <v>0</v>
      </c>
    </row>
    <row r="13" spans="2:6" x14ac:dyDescent="0.3">
      <c r="B13" s="122" t="s">
        <v>20</v>
      </c>
      <c r="C13" s="100">
        <v>273.60000000000002</v>
      </c>
      <c r="D13" s="101">
        <v>273.60000000000002</v>
      </c>
      <c r="E13" s="101">
        <f t="shared" si="0"/>
        <v>0</v>
      </c>
      <c r="F13" s="121">
        <f t="shared" si="1"/>
        <v>1</v>
      </c>
    </row>
    <row r="14" spans="2:6" x14ac:dyDescent="0.3">
      <c r="B14" s="122" t="s">
        <v>21</v>
      </c>
      <c r="C14" s="100">
        <v>300</v>
      </c>
      <c r="D14" s="101">
        <v>0</v>
      </c>
      <c r="E14" s="101">
        <f t="shared" si="0"/>
        <v>300</v>
      </c>
      <c r="F14" s="121">
        <f t="shared" si="1"/>
        <v>0</v>
      </c>
    </row>
    <row r="15" spans="2:6" x14ac:dyDescent="0.3">
      <c r="B15" s="122" t="s">
        <v>22</v>
      </c>
      <c r="C15" s="100">
        <v>1080</v>
      </c>
      <c r="D15" s="101">
        <v>720</v>
      </c>
      <c r="E15" s="101">
        <f t="shared" si="0"/>
        <v>360</v>
      </c>
      <c r="F15" s="121">
        <f t="shared" si="1"/>
        <v>0.66666666666666663</v>
      </c>
    </row>
    <row r="16" spans="2:6" x14ac:dyDescent="0.3">
      <c r="B16" s="122" t="s">
        <v>23</v>
      </c>
      <c r="C16" s="100">
        <f>83-5</f>
        <v>78</v>
      </c>
      <c r="D16" s="101">
        <v>0</v>
      </c>
      <c r="E16" s="101">
        <f t="shared" si="0"/>
        <v>78</v>
      </c>
      <c r="F16" s="121">
        <f t="shared" si="1"/>
        <v>0</v>
      </c>
    </row>
    <row r="17" spans="2:6" x14ac:dyDescent="0.3">
      <c r="B17" s="122" t="s">
        <v>24</v>
      </c>
      <c r="C17" s="100">
        <v>0</v>
      </c>
      <c r="D17" s="101">
        <v>0</v>
      </c>
      <c r="E17" s="101">
        <f t="shared" si="0"/>
        <v>0</v>
      </c>
      <c r="F17" s="121">
        <f t="shared" si="1"/>
        <v>1</v>
      </c>
    </row>
    <row r="18" spans="2:6" x14ac:dyDescent="0.3">
      <c r="B18" s="122" t="s">
        <v>25</v>
      </c>
      <c r="C18" s="100">
        <v>206.7</v>
      </c>
      <c r="D18" s="101">
        <v>0</v>
      </c>
      <c r="E18" s="101">
        <f t="shared" si="0"/>
        <v>206.7</v>
      </c>
      <c r="F18" s="121">
        <f t="shared" si="1"/>
        <v>0</v>
      </c>
    </row>
    <row r="19" spans="2:6" x14ac:dyDescent="0.3">
      <c r="B19" s="122" t="s">
        <v>26</v>
      </c>
      <c r="C19" s="100">
        <v>524.76</v>
      </c>
      <c r="D19" s="101">
        <v>0</v>
      </c>
      <c r="E19" s="101">
        <f t="shared" si="0"/>
        <v>524.76</v>
      </c>
      <c r="F19" s="121">
        <f t="shared" si="1"/>
        <v>0</v>
      </c>
    </row>
    <row r="20" spans="2:6" x14ac:dyDescent="0.3">
      <c r="B20" s="122" t="s">
        <v>27</v>
      </c>
      <c r="C20" s="100">
        <v>233.68</v>
      </c>
      <c r="D20" s="102">
        <v>233.68</v>
      </c>
      <c r="E20" s="101">
        <f t="shared" si="0"/>
        <v>0</v>
      </c>
      <c r="F20" s="121">
        <f t="shared" si="1"/>
        <v>1</v>
      </c>
    </row>
    <row r="21" spans="2:6" x14ac:dyDescent="0.3">
      <c r="B21" s="122" t="s">
        <v>28</v>
      </c>
      <c r="C21" s="100">
        <f>11.77+38.23</f>
        <v>50</v>
      </c>
      <c r="D21" s="101">
        <v>0</v>
      </c>
      <c r="E21" s="101">
        <f t="shared" si="0"/>
        <v>50</v>
      </c>
      <c r="F21" s="121">
        <f t="shared" si="1"/>
        <v>0</v>
      </c>
    </row>
    <row r="22" spans="2:6" x14ac:dyDescent="0.3">
      <c r="B22" s="122" t="s">
        <v>29</v>
      </c>
      <c r="C22" s="100">
        <v>0</v>
      </c>
      <c r="D22" s="101">
        <v>0</v>
      </c>
      <c r="E22" s="101">
        <f t="shared" si="0"/>
        <v>0</v>
      </c>
      <c r="F22" s="121">
        <f t="shared" si="1"/>
        <v>1</v>
      </c>
    </row>
    <row r="23" spans="2:6" x14ac:dyDescent="0.3">
      <c r="B23" s="122" t="s">
        <v>30</v>
      </c>
      <c r="C23" s="100">
        <f>'Hypothecated Funding'!C5</f>
        <v>2584.7199999999998</v>
      </c>
      <c r="D23" s="101">
        <v>1360</v>
      </c>
      <c r="E23" s="101">
        <f t="shared" si="0"/>
        <v>1224.7199999999998</v>
      </c>
      <c r="F23" s="121">
        <f t="shared" si="1"/>
        <v>0.52616917886656978</v>
      </c>
    </row>
    <row r="24" spans="2:6" x14ac:dyDescent="0.3">
      <c r="B24" s="122" t="s">
        <v>31</v>
      </c>
      <c r="C24" s="100">
        <v>679.28</v>
      </c>
      <c r="D24" s="101">
        <v>0</v>
      </c>
      <c r="E24" s="101">
        <f t="shared" si="0"/>
        <v>679.28</v>
      </c>
      <c r="F24" s="121">
        <f t="shared" si="1"/>
        <v>0</v>
      </c>
    </row>
    <row r="25" spans="2:6" x14ac:dyDescent="0.3">
      <c r="B25" s="122" t="s">
        <v>32</v>
      </c>
      <c r="C25" s="100">
        <v>600</v>
      </c>
      <c r="D25" s="101">
        <v>0</v>
      </c>
      <c r="E25" s="101">
        <f t="shared" si="0"/>
        <v>600</v>
      </c>
      <c r="F25" s="121">
        <f t="shared" si="1"/>
        <v>0</v>
      </c>
    </row>
    <row r="26" spans="2:6" ht="16.2" thickBot="1" x14ac:dyDescent="0.35">
      <c r="B26" s="123" t="s">
        <v>33</v>
      </c>
      <c r="C26" s="124">
        <v>2060</v>
      </c>
      <c r="D26" s="125">
        <v>0</v>
      </c>
      <c r="E26" s="125">
        <f t="shared" si="0"/>
        <v>2060</v>
      </c>
      <c r="F26" s="126">
        <f t="shared" si="1"/>
        <v>0</v>
      </c>
    </row>
    <row r="27" spans="2:6" ht="16.2" thickBot="1" x14ac:dyDescent="0.35">
      <c r="B27" s="110" t="s">
        <v>34</v>
      </c>
      <c r="C27" s="111">
        <f>SUM(C4:C26)</f>
        <v>17331.18</v>
      </c>
      <c r="D27" s="112">
        <f>SUM(D4:D26)</f>
        <v>10197.410000000002</v>
      </c>
      <c r="E27" s="113">
        <f t="shared" si="0"/>
        <v>7133.7699999999986</v>
      </c>
      <c r="F27" s="114"/>
    </row>
    <row r="28" spans="2:6" ht="16.2" thickTop="1" x14ac:dyDescent="0.3"/>
  </sheetData>
  <conditionalFormatting sqref="E4:E27">
    <cfRule type="cellIs" dxfId="1" priority="1" operator="lessThan">
      <formula>0</formula>
    </cfRule>
  </conditionalFormatting>
  <conditionalFormatting sqref="F4:F27">
    <cfRule type="cellIs" dxfId="0" priority="2" operator="greaterThan">
      <formula>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B940-C5B8-8847-BD77-6363ACA52189}">
  <dimension ref="B2:F25"/>
  <sheetViews>
    <sheetView zoomScale="200" zoomScaleNormal="200" workbookViewId="0">
      <selection activeCell="D6" sqref="D6"/>
    </sheetView>
  </sheetViews>
  <sheetFormatPr defaultColWidth="11.19921875" defaultRowHeight="15.6" x14ac:dyDescent="0.3"/>
  <cols>
    <col min="2" max="2" width="20.796875" customWidth="1"/>
    <col min="3" max="3" width="72.5" bestFit="1" customWidth="1"/>
    <col min="4" max="8" width="20.796875" customWidth="1"/>
  </cols>
  <sheetData>
    <row r="2" spans="2:6" ht="16.05" customHeight="1" x14ac:dyDescent="0.3">
      <c r="B2" t="s">
        <v>214</v>
      </c>
      <c r="C2" t="s">
        <v>215</v>
      </c>
      <c r="D2" t="s">
        <v>216</v>
      </c>
      <c r="E2" s="5"/>
      <c r="F2" s="5"/>
    </row>
    <row r="3" spans="2:6" x14ac:dyDescent="0.3">
      <c r="B3" s="3" t="s">
        <v>11</v>
      </c>
      <c r="C3" s="108" t="s">
        <v>147</v>
      </c>
      <c r="D3" s="5" t="s">
        <v>173</v>
      </c>
    </row>
    <row r="4" spans="2:6" x14ac:dyDescent="0.3">
      <c r="B4" s="3" t="s">
        <v>12</v>
      </c>
      <c r="C4" s="9" t="s">
        <v>148</v>
      </c>
    </row>
    <row r="5" spans="2:6" x14ac:dyDescent="0.3">
      <c r="B5" s="3" t="s">
        <v>13</v>
      </c>
      <c r="C5" s="9" t="s">
        <v>149</v>
      </c>
      <c r="D5" t="s">
        <v>173</v>
      </c>
    </row>
    <row r="6" spans="2:6" x14ac:dyDescent="0.3">
      <c r="B6" s="3" t="s">
        <v>14</v>
      </c>
      <c r="C6" s="9" t="s">
        <v>150</v>
      </c>
    </row>
    <row r="7" spans="2:6" x14ac:dyDescent="0.3">
      <c r="B7" s="3" t="s">
        <v>15</v>
      </c>
      <c r="C7" s="9" t="s">
        <v>151</v>
      </c>
      <c r="D7" t="s">
        <v>217</v>
      </c>
    </row>
    <row r="8" spans="2:6" x14ac:dyDescent="0.3">
      <c r="B8" s="3" t="s">
        <v>16</v>
      </c>
      <c r="C8" s="9" t="s">
        <v>152</v>
      </c>
      <c r="D8" t="s">
        <v>217</v>
      </c>
    </row>
    <row r="9" spans="2:6" x14ac:dyDescent="0.3">
      <c r="B9" s="3" t="s">
        <v>17</v>
      </c>
      <c r="C9" s="9" t="s">
        <v>153</v>
      </c>
      <c r="D9" t="s">
        <v>217</v>
      </c>
    </row>
    <row r="10" spans="2:6" x14ac:dyDescent="0.3">
      <c r="B10" s="3" t="s">
        <v>18</v>
      </c>
      <c r="C10" s="9" t="s">
        <v>154</v>
      </c>
    </row>
    <row r="11" spans="2:6" x14ac:dyDescent="0.3">
      <c r="B11" s="3" t="s">
        <v>19</v>
      </c>
      <c r="C11" s="9" t="s">
        <v>155</v>
      </c>
    </row>
    <row r="12" spans="2:6" x14ac:dyDescent="0.3">
      <c r="B12" s="3" t="s">
        <v>20</v>
      </c>
      <c r="C12" s="9" t="s">
        <v>156</v>
      </c>
      <c r="D12" t="s">
        <v>184</v>
      </c>
    </row>
    <row r="13" spans="2:6" x14ac:dyDescent="0.3">
      <c r="B13" s="3" t="s">
        <v>21</v>
      </c>
      <c r="C13" s="9" t="s">
        <v>157</v>
      </c>
      <c r="D13" t="s">
        <v>184</v>
      </c>
    </row>
    <row r="14" spans="2:6" x14ac:dyDescent="0.3">
      <c r="B14" s="3" t="s">
        <v>22</v>
      </c>
      <c r="C14" s="9" t="s">
        <v>149</v>
      </c>
      <c r="D14" t="s">
        <v>179</v>
      </c>
    </row>
    <row r="15" spans="2:6" x14ac:dyDescent="0.3">
      <c r="B15" s="3" t="s">
        <v>23</v>
      </c>
      <c r="C15" s="9" t="s">
        <v>158</v>
      </c>
      <c r="D15" t="s">
        <v>179</v>
      </c>
    </row>
    <row r="16" spans="2:6" x14ac:dyDescent="0.3">
      <c r="B16" s="3" t="s">
        <v>24</v>
      </c>
      <c r="C16" s="109" t="s">
        <v>159</v>
      </c>
      <c r="D16" t="s">
        <v>179</v>
      </c>
    </row>
    <row r="17" spans="2:4" x14ac:dyDescent="0.3">
      <c r="B17" s="3" t="s">
        <v>25</v>
      </c>
      <c r="C17" s="9" t="s">
        <v>160</v>
      </c>
      <c r="D17" t="s">
        <v>179</v>
      </c>
    </row>
    <row r="18" spans="2:4" x14ac:dyDescent="0.3">
      <c r="B18" s="3" t="s">
        <v>26</v>
      </c>
      <c r="C18" s="9" t="s">
        <v>161</v>
      </c>
    </row>
    <row r="19" spans="2:4" x14ac:dyDescent="0.3">
      <c r="B19" s="3" t="s">
        <v>27</v>
      </c>
      <c r="C19" s="9" t="s">
        <v>162</v>
      </c>
      <c r="D19" t="s">
        <v>179</v>
      </c>
    </row>
    <row r="20" spans="2:4" x14ac:dyDescent="0.3">
      <c r="B20" s="3" t="s">
        <v>28</v>
      </c>
      <c r="C20" s="9" t="s">
        <v>163</v>
      </c>
      <c r="D20" t="s">
        <v>199</v>
      </c>
    </row>
    <row r="21" spans="2:4" x14ac:dyDescent="0.3">
      <c r="B21" s="3" t="s">
        <v>29</v>
      </c>
      <c r="C21" s="9" t="s">
        <v>164</v>
      </c>
      <c r="D21" t="s">
        <v>199</v>
      </c>
    </row>
    <row r="22" spans="2:4" x14ac:dyDescent="0.3">
      <c r="B22" s="3" t="s">
        <v>30</v>
      </c>
      <c r="C22" s="9" t="s">
        <v>165</v>
      </c>
      <c r="D22" t="s">
        <v>196</v>
      </c>
    </row>
    <row r="23" spans="2:4" x14ac:dyDescent="0.3">
      <c r="B23" s="3" t="s">
        <v>31</v>
      </c>
      <c r="C23" s="9" t="s">
        <v>166</v>
      </c>
      <c r="D23" t="s">
        <v>196</v>
      </c>
    </row>
    <row r="24" spans="2:4" x14ac:dyDescent="0.3">
      <c r="B24" s="3" t="s">
        <v>32</v>
      </c>
      <c r="C24" s="9" t="s">
        <v>167</v>
      </c>
      <c r="D24" t="s">
        <v>149</v>
      </c>
    </row>
    <row r="25" spans="2:4" x14ac:dyDescent="0.3">
      <c r="B25" s="3" t="s">
        <v>33</v>
      </c>
      <c r="C25" s="9" t="s">
        <v>168</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948F3-4444-4243-A022-854D363809C0}">
  <dimension ref="A1"/>
  <sheetViews>
    <sheetView zoomScale="200" zoomScaleNormal="200" workbookViewId="0"/>
  </sheetViews>
  <sheetFormatPr defaultColWidth="11.19921875"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39CF-18F4-514F-8954-2823131A0539}">
  <dimension ref="A1:AD108"/>
  <sheetViews>
    <sheetView zoomScale="200" zoomScaleNormal="200" workbookViewId="0">
      <pane xSplit="6" ySplit="3" topLeftCell="Q69" activePane="bottomRight" state="frozen"/>
      <selection pane="topRight" activeCell="G1" sqref="G1"/>
      <selection pane="bottomLeft" activeCell="A4" sqref="A4"/>
      <selection pane="bottomRight" activeCell="A6" sqref="A6:E70"/>
    </sheetView>
  </sheetViews>
  <sheetFormatPr defaultColWidth="11.19921875" defaultRowHeight="14.4" x14ac:dyDescent="0.3"/>
  <cols>
    <col min="1" max="1" width="11.19921875" style="169" customWidth="1"/>
    <col min="2" max="2" width="8.796875" style="15" customWidth="1"/>
    <col min="3" max="3" width="43.69921875" style="15" customWidth="1"/>
    <col min="4" max="4" width="10.5" style="15" customWidth="1"/>
    <col min="5" max="5" width="11.69921875" style="15" customWidth="1"/>
    <col min="6" max="6" width="11.796875" style="15" bestFit="1" customWidth="1"/>
    <col min="7" max="7" width="9.796875" style="15" customWidth="1"/>
    <col min="8" max="8" width="9" style="15" bestFit="1" customWidth="1"/>
    <col min="9" max="9" width="9" style="15" customWidth="1"/>
    <col min="10" max="11" width="12.5" style="15" customWidth="1"/>
    <col min="12" max="12" width="8.796875" style="15" customWidth="1"/>
    <col min="13" max="13" width="9" style="15" customWidth="1"/>
    <col min="14" max="15" width="9.796875" style="15" customWidth="1"/>
    <col min="16" max="16" width="7.19921875" style="15" customWidth="1"/>
    <col min="17" max="17" width="10.19921875" style="15" customWidth="1"/>
    <col min="18" max="18" width="8.296875" style="15" customWidth="1"/>
    <col min="19" max="19" width="9" style="15" customWidth="1"/>
    <col min="20" max="22" width="7.296875" style="15" customWidth="1"/>
    <col min="23" max="23" width="8.5" style="15" customWidth="1"/>
    <col min="24" max="24" width="7.296875" style="15" customWidth="1"/>
    <col min="25" max="25" width="8.69921875" style="15" customWidth="1"/>
    <col min="26" max="27" width="9" style="15" bestFit="1" customWidth="1"/>
    <col min="28" max="28" width="9.5" style="15" customWidth="1"/>
    <col min="29" max="29" width="9.5" style="15" bestFit="1" customWidth="1"/>
    <col min="30" max="30" width="9.796875" style="15" bestFit="1" customWidth="1"/>
    <col min="31" max="258" width="8.796875" style="15" customWidth="1"/>
    <col min="259" max="259" width="43.69921875" style="15" customWidth="1"/>
    <col min="260" max="260" width="10.5" style="15" customWidth="1"/>
    <col min="261" max="261" width="11.69921875" style="15" customWidth="1"/>
    <col min="262" max="262" width="11.796875" style="15" bestFit="1" customWidth="1"/>
    <col min="263" max="263" width="9.796875" style="15" customWidth="1"/>
    <col min="264" max="264" width="9" style="15" bestFit="1" customWidth="1"/>
    <col min="265" max="265" width="9" style="15" customWidth="1"/>
    <col min="266" max="267" width="12.5" style="15" customWidth="1"/>
    <col min="268" max="268" width="8.796875" style="15" customWidth="1"/>
    <col min="269" max="269" width="9" style="15" customWidth="1"/>
    <col min="270" max="271" width="9.796875" style="15" customWidth="1"/>
    <col min="272" max="272" width="7.19921875" style="15" customWidth="1"/>
    <col min="273" max="273" width="10.19921875" style="15" customWidth="1"/>
    <col min="274" max="274" width="8.296875" style="15" customWidth="1"/>
    <col min="275" max="275" width="9" style="15" customWidth="1"/>
    <col min="276" max="278" width="7.296875" style="15" customWidth="1"/>
    <col min="279" max="279" width="8.5" style="15" customWidth="1"/>
    <col min="280" max="280" width="7.296875" style="15" customWidth="1"/>
    <col min="281" max="281" width="8.69921875" style="15" customWidth="1"/>
    <col min="282" max="283" width="9" style="15" bestFit="1" customWidth="1"/>
    <col min="284" max="284" width="9.5" style="15" customWidth="1"/>
    <col min="285" max="285" width="9.5" style="15" bestFit="1" customWidth="1"/>
    <col min="286" max="286" width="9.796875" style="15" bestFit="1" customWidth="1"/>
    <col min="287" max="514" width="8.796875" style="15" customWidth="1"/>
    <col min="515" max="515" width="43.69921875" style="15" customWidth="1"/>
    <col min="516" max="516" width="10.5" style="15" customWidth="1"/>
    <col min="517" max="517" width="11.69921875" style="15" customWidth="1"/>
    <col min="518" max="518" width="11.796875" style="15" bestFit="1" customWidth="1"/>
    <col min="519" max="519" width="9.796875" style="15" customWidth="1"/>
    <col min="520" max="520" width="9" style="15" bestFit="1" customWidth="1"/>
    <col min="521" max="521" width="9" style="15" customWidth="1"/>
    <col min="522" max="523" width="12.5" style="15" customWidth="1"/>
    <col min="524" max="524" width="8.796875" style="15" customWidth="1"/>
    <col min="525" max="525" width="9" style="15" customWidth="1"/>
    <col min="526" max="527" width="9.796875" style="15" customWidth="1"/>
    <col min="528" max="528" width="7.19921875" style="15" customWidth="1"/>
    <col min="529" max="529" width="10.19921875" style="15" customWidth="1"/>
    <col min="530" max="530" width="8.296875" style="15" customWidth="1"/>
    <col min="531" max="531" width="9" style="15" customWidth="1"/>
    <col min="532" max="534" width="7.296875" style="15" customWidth="1"/>
    <col min="535" max="535" width="8.5" style="15" customWidth="1"/>
    <col min="536" max="536" width="7.296875" style="15" customWidth="1"/>
    <col min="537" max="537" width="8.69921875" style="15" customWidth="1"/>
    <col min="538" max="539" width="9" style="15" bestFit="1" customWidth="1"/>
    <col min="540" max="540" width="9.5" style="15" customWidth="1"/>
    <col min="541" max="541" width="9.5" style="15" bestFit="1" customWidth="1"/>
    <col min="542" max="542" width="9.796875" style="15" bestFit="1" customWidth="1"/>
    <col min="543" max="770" width="8.796875" style="15" customWidth="1"/>
    <col min="771" max="771" width="43.69921875" style="15" customWidth="1"/>
    <col min="772" max="772" width="10.5" style="15" customWidth="1"/>
    <col min="773" max="773" width="11.69921875" style="15" customWidth="1"/>
    <col min="774" max="774" width="11.796875" style="15" bestFit="1" customWidth="1"/>
    <col min="775" max="775" width="9.796875" style="15" customWidth="1"/>
    <col min="776" max="776" width="9" style="15" bestFit="1" customWidth="1"/>
    <col min="777" max="777" width="9" style="15" customWidth="1"/>
    <col min="778" max="779" width="12.5" style="15" customWidth="1"/>
    <col min="780" max="780" width="8.796875" style="15" customWidth="1"/>
    <col min="781" max="781" width="9" style="15" customWidth="1"/>
    <col min="782" max="783" width="9.796875" style="15" customWidth="1"/>
    <col min="784" max="784" width="7.19921875" style="15" customWidth="1"/>
    <col min="785" max="785" width="10.19921875" style="15" customWidth="1"/>
    <col min="786" max="786" width="8.296875" style="15" customWidth="1"/>
    <col min="787" max="787" width="9" style="15" customWidth="1"/>
    <col min="788" max="790" width="7.296875" style="15" customWidth="1"/>
    <col min="791" max="791" width="8.5" style="15" customWidth="1"/>
    <col min="792" max="792" width="7.296875" style="15" customWidth="1"/>
    <col min="793" max="793" width="8.69921875" style="15" customWidth="1"/>
    <col min="794" max="795" width="9" style="15" bestFit="1" customWidth="1"/>
    <col min="796" max="796" width="9.5" style="15" customWidth="1"/>
    <col min="797" max="797" width="9.5" style="15" bestFit="1" customWidth="1"/>
    <col min="798" max="798" width="9.796875" style="15" bestFit="1" customWidth="1"/>
    <col min="799" max="1026" width="8.796875" style="15" customWidth="1"/>
    <col min="1027" max="1027" width="43.69921875" style="15" customWidth="1"/>
    <col min="1028" max="1028" width="10.5" style="15" customWidth="1"/>
    <col min="1029" max="1029" width="11.69921875" style="15" customWidth="1"/>
    <col min="1030" max="1030" width="11.796875" style="15" bestFit="1" customWidth="1"/>
    <col min="1031" max="1031" width="9.796875" style="15" customWidth="1"/>
    <col min="1032" max="1032" width="9" style="15" bestFit="1" customWidth="1"/>
    <col min="1033" max="1033" width="9" style="15" customWidth="1"/>
    <col min="1034" max="1035" width="12.5" style="15" customWidth="1"/>
    <col min="1036" max="1036" width="8.796875" style="15" customWidth="1"/>
    <col min="1037" max="1037" width="9" style="15" customWidth="1"/>
    <col min="1038" max="1039" width="9.796875" style="15" customWidth="1"/>
    <col min="1040" max="1040" width="7.19921875" style="15" customWidth="1"/>
    <col min="1041" max="1041" width="10.19921875" style="15" customWidth="1"/>
    <col min="1042" max="1042" width="8.296875" style="15" customWidth="1"/>
    <col min="1043" max="1043" width="9" style="15" customWidth="1"/>
    <col min="1044" max="1046" width="7.296875" style="15" customWidth="1"/>
    <col min="1047" max="1047" width="8.5" style="15" customWidth="1"/>
    <col min="1048" max="1048" width="7.296875" style="15" customWidth="1"/>
    <col min="1049" max="1049" width="8.69921875" style="15" customWidth="1"/>
    <col min="1050" max="1051" width="9" style="15" bestFit="1" customWidth="1"/>
    <col min="1052" max="1052" width="9.5" style="15" customWidth="1"/>
    <col min="1053" max="1053" width="9.5" style="15" bestFit="1" customWidth="1"/>
    <col min="1054" max="1054" width="9.796875" style="15" bestFit="1" customWidth="1"/>
    <col min="1055" max="1282" width="8.796875" style="15" customWidth="1"/>
    <col min="1283" max="1283" width="43.69921875" style="15" customWidth="1"/>
    <col min="1284" max="1284" width="10.5" style="15" customWidth="1"/>
    <col min="1285" max="1285" width="11.69921875" style="15" customWidth="1"/>
    <col min="1286" max="1286" width="11.796875" style="15" bestFit="1" customWidth="1"/>
    <col min="1287" max="1287" width="9.796875" style="15" customWidth="1"/>
    <col min="1288" max="1288" width="9" style="15" bestFit="1" customWidth="1"/>
    <col min="1289" max="1289" width="9" style="15" customWidth="1"/>
    <col min="1290" max="1291" width="12.5" style="15" customWidth="1"/>
    <col min="1292" max="1292" width="8.796875" style="15" customWidth="1"/>
    <col min="1293" max="1293" width="9" style="15" customWidth="1"/>
    <col min="1294" max="1295" width="9.796875" style="15" customWidth="1"/>
    <col min="1296" max="1296" width="7.19921875" style="15" customWidth="1"/>
    <col min="1297" max="1297" width="10.19921875" style="15" customWidth="1"/>
    <col min="1298" max="1298" width="8.296875" style="15" customWidth="1"/>
    <col min="1299" max="1299" width="9" style="15" customWidth="1"/>
    <col min="1300" max="1302" width="7.296875" style="15" customWidth="1"/>
    <col min="1303" max="1303" width="8.5" style="15" customWidth="1"/>
    <col min="1304" max="1304" width="7.296875" style="15" customWidth="1"/>
    <col min="1305" max="1305" width="8.69921875" style="15" customWidth="1"/>
    <col min="1306" max="1307" width="9" style="15" bestFit="1" customWidth="1"/>
    <col min="1308" max="1308" width="9.5" style="15" customWidth="1"/>
    <col min="1309" max="1309" width="9.5" style="15" bestFit="1" customWidth="1"/>
    <col min="1310" max="1310" width="9.796875" style="15" bestFit="1" customWidth="1"/>
    <col min="1311" max="1538" width="8.796875" style="15" customWidth="1"/>
    <col min="1539" max="1539" width="43.69921875" style="15" customWidth="1"/>
    <col min="1540" max="1540" width="10.5" style="15" customWidth="1"/>
    <col min="1541" max="1541" width="11.69921875" style="15" customWidth="1"/>
    <col min="1542" max="1542" width="11.796875" style="15" bestFit="1" customWidth="1"/>
    <col min="1543" max="1543" width="9.796875" style="15" customWidth="1"/>
    <col min="1544" max="1544" width="9" style="15" bestFit="1" customWidth="1"/>
    <col min="1545" max="1545" width="9" style="15" customWidth="1"/>
    <col min="1546" max="1547" width="12.5" style="15" customWidth="1"/>
    <col min="1548" max="1548" width="8.796875" style="15" customWidth="1"/>
    <col min="1549" max="1549" width="9" style="15" customWidth="1"/>
    <col min="1550" max="1551" width="9.796875" style="15" customWidth="1"/>
    <col min="1552" max="1552" width="7.19921875" style="15" customWidth="1"/>
    <col min="1553" max="1553" width="10.19921875" style="15" customWidth="1"/>
    <col min="1554" max="1554" width="8.296875" style="15" customWidth="1"/>
    <col min="1555" max="1555" width="9" style="15" customWidth="1"/>
    <col min="1556" max="1558" width="7.296875" style="15" customWidth="1"/>
    <col min="1559" max="1559" width="8.5" style="15" customWidth="1"/>
    <col min="1560" max="1560" width="7.296875" style="15" customWidth="1"/>
    <col min="1561" max="1561" width="8.69921875" style="15" customWidth="1"/>
    <col min="1562" max="1563" width="9" style="15" bestFit="1" customWidth="1"/>
    <col min="1564" max="1564" width="9.5" style="15" customWidth="1"/>
    <col min="1565" max="1565" width="9.5" style="15" bestFit="1" customWidth="1"/>
    <col min="1566" max="1566" width="9.796875" style="15" bestFit="1" customWidth="1"/>
    <col min="1567" max="1794" width="8.796875" style="15" customWidth="1"/>
    <col min="1795" max="1795" width="43.69921875" style="15" customWidth="1"/>
    <col min="1796" max="1796" width="10.5" style="15" customWidth="1"/>
    <col min="1797" max="1797" width="11.69921875" style="15" customWidth="1"/>
    <col min="1798" max="1798" width="11.796875" style="15" bestFit="1" customWidth="1"/>
    <col min="1799" max="1799" width="9.796875" style="15" customWidth="1"/>
    <col min="1800" max="1800" width="9" style="15" bestFit="1" customWidth="1"/>
    <col min="1801" max="1801" width="9" style="15" customWidth="1"/>
    <col min="1802" max="1803" width="12.5" style="15" customWidth="1"/>
    <col min="1804" max="1804" width="8.796875" style="15" customWidth="1"/>
    <col min="1805" max="1805" width="9" style="15" customWidth="1"/>
    <col min="1806" max="1807" width="9.796875" style="15" customWidth="1"/>
    <col min="1808" max="1808" width="7.19921875" style="15" customWidth="1"/>
    <col min="1809" max="1809" width="10.19921875" style="15" customWidth="1"/>
    <col min="1810" max="1810" width="8.296875" style="15" customWidth="1"/>
    <col min="1811" max="1811" width="9" style="15" customWidth="1"/>
    <col min="1812" max="1814" width="7.296875" style="15" customWidth="1"/>
    <col min="1815" max="1815" width="8.5" style="15" customWidth="1"/>
    <col min="1816" max="1816" width="7.296875" style="15" customWidth="1"/>
    <col min="1817" max="1817" width="8.69921875" style="15" customWidth="1"/>
    <col min="1818" max="1819" width="9" style="15" bestFit="1" customWidth="1"/>
    <col min="1820" max="1820" width="9.5" style="15" customWidth="1"/>
    <col min="1821" max="1821" width="9.5" style="15" bestFit="1" customWidth="1"/>
    <col min="1822" max="1822" width="9.796875" style="15" bestFit="1" customWidth="1"/>
    <col min="1823" max="2050" width="8.796875" style="15" customWidth="1"/>
    <col min="2051" max="2051" width="43.69921875" style="15" customWidth="1"/>
    <col min="2052" max="2052" width="10.5" style="15" customWidth="1"/>
    <col min="2053" max="2053" width="11.69921875" style="15" customWidth="1"/>
    <col min="2054" max="2054" width="11.796875" style="15" bestFit="1" customWidth="1"/>
    <col min="2055" max="2055" width="9.796875" style="15" customWidth="1"/>
    <col min="2056" max="2056" width="9" style="15" bestFit="1" customWidth="1"/>
    <col min="2057" max="2057" width="9" style="15" customWidth="1"/>
    <col min="2058" max="2059" width="12.5" style="15" customWidth="1"/>
    <col min="2060" max="2060" width="8.796875" style="15" customWidth="1"/>
    <col min="2061" max="2061" width="9" style="15" customWidth="1"/>
    <col min="2062" max="2063" width="9.796875" style="15" customWidth="1"/>
    <col min="2064" max="2064" width="7.19921875" style="15" customWidth="1"/>
    <col min="2065" max="2065" width="10.19921875" style="15" customWidth="1"/>
    <col min="2066" max="2066" width="8.296875" style="15" customWidth="1"/>
    <col min="2067" max="2067" width="9" style="15" customWidth="1"/>
    <col min="2068" max="2070" width="7.296875" style="15" customWidth="1"/>
    <col min="2071" max="2071" width="8.5" style="15" customWidth="1"/>
    <col min="2072" max="2072" width="7.296875" style="15" customWidth="1"/>
    <col min="2073" max="2073" width="8.69921875" style="15" customWidth="1"/>
    <col min="2074" max="2075" width="9" style="15" bestFit="1" customWidth="1"/>
    <col min="2076" max="2076" width="9.5" style="15" customWidth="1"/>
    <col min="2077" max="2077" width="9.5" style="15" bestFit="1" customWidth="1"/>
    <col min="2078" max="2078" width="9.796875" style="15" bestFit="1" customWidth="1"/>
    <col min="2079" max="2306" width="8.796875" style="15" customWidth="1"/>
    <col min="2307" max="2307" width="43.69921875" style="15" customWidth="1"/>
    <col min="2308" max="2308" width="10.5" style="15" customWidth="1"/>
    <col min="2309" max="2309" width="11.69921875" style="15" customWidth="1"/>
    <col min="2310" max="2310" width="11.796875" style="15" bestFit="1" customWidth="1"/>
    <col min="2311" max="2311" width="9.796875" style="15" customWidth="1"/>
    <col min="2312" max="2312" width="9" style="15" bestFit="1" customWidth="1"/>
    <col min="2313" max="2313" width="9" style="15" customWidth="1"/>
    <col min="2314" max="2315" width="12.5" style="15" customWidth="1"/>
    <col min="2316" max="2316" width="8.796875" style="15" customWidth="1"/>
    <col min="2317" max="2317" width="9" style="15" customWidth="1"/>
    <col min="2318" max="2319" width="9.796875" style="15" customWidth="1"/>
    <col min="2320" max="2320" width="7.19921875" style="15" customWidth="1"/>
    <col min="2321" max="2321" width="10.19921875" style="15" customWidth="1"/>
    <col min="2322" max="2322" width="8.296875" style="15" customWidth="1"/>
    <col min="2323" max="2323" width="9" style="15" customWidth="1"/>
    <col min="2324" max="2326" width="7.296875" style="15" customWidth="1"/>
    <col min="2327" max="2327" width="8.5" style="15" customWidth="1"/>
    <col min="2328" max="2328" width="7.296875" style="15" customWidth="1"/>
    <col min="2329" max="2329" width="8.69921875" style="15" customWidth="1"/>
    <col min="2330" max="2331" width="9" style="15" bestFit="1" customWidth="1"/>
    <col min="2332" max="2332" width="9.5" style="15" customWidth="1"/>
    <col min="2333" max="2333" width="9.5" style="15" bestFit="1" customWidth="1"/>
    <col min="2334" max="2334" width="9.796875" style="15" bestFit="1" customWidth="1"/>
    <col min="2335" max="2562" width="8.796875" style="15" customWidth="1"/>
    <col min="2563" max="2563" width="43.69921875" style="15" customWidth="1"/>
    <col min="2564" max="2564" width="10.5" style="15" customWidth="1"/>
    <col min="2565" max="2565" width="11.69921875" style="15" customWidth="1"/>
    <col min="2566" max="2566" width="11.796875" style="15" bestFit="1" customWidth="1"/>
    <col min="2567" max="2567" width="9.796875" style="15" customWidth="1"/>
    <col min="2568" max="2568" width="9" style="15" bestFit="1" customWidth="1"/>
    <col min="2569" max="2569" width="9" style="15" customWidth="1"/>
    <col min="2570" max="2571" width="12.5" style="15" customWidth="1"/>
    <col min="2572" max="2572" width="8.796875" style="15" customWidth="1"/>
    <col min="2573" max="2573" width="9" style="15" customWidth="1"/>
    <col min="2574" max="2575" width="9.796875" style="15" customWidth="1"/>
    <col min="2576" max="2576" width="7.19921875" style="15" customWidth="1"/>
    <col min="2577" max="2577" width="10.19921875" style="15" customWidth="1"/>
    <col min="2578" max="2578" width="8.296875" style="15" customWidth="1"/>
    <col min="2579" max="2579" width="9" style="15" customWidth="1"/>
    <col min="2580" max="2582" width="7.296875" style="15" customWidth="1"/>
    <col min="2583" max="2583" width="8.5" style="15" customWidth="1"/>
    <col min="2584" max="2584" width="7.296875" style="15" customWidth="1"/>
    <col min="2585" max="2585" width="8.69921875" style="15" customWidth="1"/>
    <col min="2586" max="2587" width="9" style="15" bestFit="1" customWidth="1"/>
    <col min="2588" max="2588" width="9.5" style="15" customWidth="1"/>
    <col min="2589" max="2589" width="9.5" style="15" bestFit="1" customWidth="1"/>
    <col min="2590" max="2590" width="9.796875" style="15" bestFit="1" customWidth="1"/>
    <col min="2591" max="2818" width="8.796875" style="15" customWidth="1"/>
    <col min="2819" max="2819" width="43.69921875" style="15" customWidth="1"/>
    <col min="2820" max="2820" width="10.5" style="15" customWidth="1"/>
    <col min="2821" max="2821" width="11.69921875" style="15" customWidth="1"/>
    <col min="2822" max="2822" width="11.796875" style="15" bestFit="1" customWidth="1"/>
    <col min="2823" max="2823" width="9.796875" style="15" customWidth="1"/>
    <col min="2824" max="2824" width="9" style="15" bestFit="1" customWidth="1"/>
    <col min="2825" max="2825" width="9" style="15" customWidth="1"/>
    <col min="2826" max="2827" width="12.5" style="15" customWidth="1"/>
    <col min="2828" max="2828" width="8.796875" style="15" customWidth="1"/>
    <col min="2829" max="2829" width="9" style="15" customWidth="1"/>
    <col min="2830" max="2831" width="9.796875" style="15" customWidth="1"/>
    <col min="2832" max="2832" width="7.19921875" style="15" customWidth="1"/>
    <col min="2833" max="2833" width="10.19921875" style="15" customWidth="1"/>
    <col min="2834" max="2834" width="8.296875" style="15" customWidth="1"/>
    <col min="2835" max="2835" width="9" style="15" customWidth="1"/>
    <col min="2836" max="2838" width="7.296875" style="15" customWidth="1"/>
    <col min="2839" max="2839" width="8.5" style="15" customWidth="1"/>
    <col min="2840" max="2840" width="7.296875" style="15" customWidth="1"/>
    <col min="2841" max="2841" width="8.69921875" style="15" customWidth="1"/>
    <col min="2842" max="2843" width="9" style="15" bestFit="1" customWidth="1"/>
    <col min="2844" max="2844" width="9.5" style="15" customWidth="1"/>
    <col min="2845" max="2845" width="9.5" style="15" bestFit="1" customWidth="1"/>
    <col min="2846" max="2846" width="9.796875" style="15" bestFit="1" customWidth="1"/>
    <col min="2847" max="3074" width="8.796875" style="15" customWidth="1"/>
    <col min="3075" max="3075" width="43.69921875" style="15" customWidth="1"/>
    <col min="3076" max="3076" width="10.5" style="15" customWidth="1"/>
    <col min="3077" max="3077" width="11.69921875" style="15" customWidth="1"/>
    <col min="3078" max="3078" width="11.796875" style="15" bestFit="1" customWidth="1"/>
    <col min="3079" max="3079" width="9.796875" style="15" customWidth="1"/>
    <col min="3080" max="3080" width="9" style="15" bestFit="1" customWidth="1"/>
    <col min="3081" max="3081" width="9" style="15" customWidth="1"/>
    <col min="3082" max="3083" width="12.5" style="15" customWidth="1"/>
    <col min="3084" max="3084" width="8.796875" style="15" customWidth="1"/>
    <col min="3085" max="3085" width="9" style="15" customWidth="1"/>
    <col min="3086" max="3087" width="9.796875" style="15" customWidth="1"/>
    <col min="3088" max="3088" width="7.19921875" style="15" customWidth="1"/>
    <col min="3089" max="3089" width="10.19921875" style="15" customWidth="1"/>
    <col min="3090" max="3090" width="8.296875" style="15" customWidth="1"/>
    <col min="3091" max="3091" width="9" style="15" customWidth="1"/>
    <col min="3092" max="3094" width="7.296875" style="15" customWidth="1"/>
    <col min="3095" max="3095" width="8.5" style="15" customWidth="1"/>
    <col min="3096" max="3096" width="7.296875" style="15" customWidth="1"/>
    <col min="3097" max="3097" width="8.69921875" style="15" customWidth="1"/>
    <col min="3098" max="3099" width="9" style="15" bestFit="1" customWidth="1"/>
    <col min="3100" max="3100" width="9.5" style="15" customWidth="1"/>
    <col min="3101" max="3101" width="9.5" style="15" bestFit="1" customWidth="1"/>
    <col min="3102" max="3102" width="9.796875" style="15" bestFit="1" customWidth="1"/>
    <col min="3103" max="3330" width="8.796875" style="15" customWidth="1"/>
    <col min="3331" max="3331" width="43.69921875" style="15" customWidth="1"/>
    <col min="3332" max="3332" width="10.5" style="15" customWidth="1"/>
    <col min="3333" max="3333" width="11.69921875" style="15" customWidth="1"/>
    <col min="3334" max="3334" width="11.796875" style="15" bestFit="1" customWidth="1"/>
    <col min="3335" max="3335" width="9.796875" style="15" customWidth="1"/>
    <col min="3336" max="3336" width="9" style="15" bestFit="1" customWidth="1"/>
    <col min="3337" max="3337" width="9" style="15" customWidth="1"/>
    <col min="3338" max="3339" width="12.5" style="15" customWidth="1"/>
    <col min="3340" max="3340" width="8.796875" style="15" customWidth="1"/>
    <col min="3341" max="3341" width="9" style="15" customWidth="1"/>
    <col min="3342" max="3343" width="9.796875" style="15" customWidth="1"/>
    <col min="3344" max="3344" width="7.19921875" style="15" customWidth="1"/>
    <col min="3345" max="3345" width="10.19921875" style="15" customWidth="1"/>
    <col min="3346" max="3346" width="8.296875" style="15" customWidth="1"/>
    <col min="3347" max="3347" width="9" style="15" customWidth="1"/>
    <col min="3348" max="3350" width="7.296875" style="15" customWidth="1"/>
    <col min="3351" max="3351" width="8.5" style="15" customWidth="1"/>
    <col min="3352" max="3352" width="7.296875" style="15" customWidth="1"/>
    <col min="3353" max="3353" width="8.69921875" style="15" customWidth="1"/>
    <col min="3354" max="3355" width="9" style="15" bestFit="1" customWidth="1"/>
    <col min="3356" max="3356" width="9.5" style="15" customWidth="1"/>
    <col min="3357" max="3357" width="9.5" style="15" bestFit="1" customWidth="1"/>
    <col min="3358" max="3358" width="9.796875" style="15" bestFit="1" customWidth="1"/>
    <col min="3359" max="3586" width="8.796875" style="15" customWidth="1"/>
    <col min="3587" max="3587" width="43.69921875" style="15" customWidth="1"/>
    <col min="3588" max="3588" width="10.5" style="15" customWidth="1"/>
    <col min="3589" max="3589" width="11.69921875" style="15" customWidth="1"/>
    <col min="3590" max="3590" width="11.796875" style="15" bestFit="1" customWidth="1"/>
    <col min="3591" max="3591" width="9.796875" style="15" customWidth="1"/>
    <col min="3592" max="3592" width="9" style="15" bestFit="1" customWidth="1"/>
    <col min="3593" max="3593" width="9" style="15" customWidth="1"/>
    <col min="3594" max="3595" width="12.5" style="15" customWidth="1"/>
    <col min="3596" max="3596" width="8.796875" style="15" customWidth="1"/>
    <col min="3597" max="3597" width="9" style="15" customWidth="1"/>
    <col min="3598" max="3599" width="9.796875" style="15" customWidth="1"/>
    <col min="3600" max="3600" width="7.19921875" style="15" customWidth="1"/>
    <col min="3601" max="3601" width="10.19921875" style="15" customWidth="1"/>
    <col min="3602" max="3602" width="8.296875" style="15" customWidth="1"/>
    <col min="3603" max="3603" width="9" style="15" customWidth="1"/>
    <col min="3604" max="3606" width="7.296875" style="15" customWidth="1"/>
    <col min="3607" max="3607" width="8.5" style="15" customWidth="1"/>
    <col min="3608" max="3608" width="7.296875" style="15" customWidth="1"/>
    <col min="3609" max="3609" width="8.69921875" style="15" customWidth="1"/>
    <col min="3610" max="3611" width="9" style="15" bestFit="1" customWidth="1"/>
    <col min="3612" max="3612" width="9.5" style="15" customWidth="1"/>
    <col min="3613" max="3613" width="9.5" style="15" bestFit="1" customWidth="1"/>
    <col min="3614" max="3614" width="9.796875" style="15" bestFit="1" customWidth="1"/>
    <col min="3615" max="3842" width="8.796875" style="15" customWidth="1"/>
    <col min="3843" max="3843" width="43.69921875" style="15" customWidth="1"/>
    <col min="3844" max="3844" width="10.5" style="15" customWidth="1"/>
    <col min="3845" max="3845" width="11.69921875" style="15" customWidth="1"/>
    <col min="3846" max="3846" width="11.796875" style="15" bestFit="1" customWidth="1"/>
    <col min="3847" max="3847" width="9.796875" style="15" customWidth="1"/>
    <col min="3848" max="3848" width="9" style="15" bestFit="1" customWidth="1"/>
    <col min="3849" max="3849" width="9" style="15" customWidth="1"/>
    <col min="3850" max="3851" width="12.5" style="15" customWidth="1"/>
    <col min="3852" max="3852" width="8.796875" style="15" customWidth="1"/>
    <col min="3853" max="3853" width="9" style="15" customWidth="1"/>
    <col min="3854" max="3855" width="9.796875" style="15" customWidth="1"/>
    <col min="3856" max="3856" width="7.19921875" style="15" customWidth="1"/>
    <col min="3857" max="3857" width="10.19921875" style="15" customWidth="1"/>
    <col min="3858" max="3858" width="8.296875" style="15" customWidth="1"/>
    <col min="3859" max="3859" width="9" style="15" customWidth="1"/>
    <col min="3860" max="3862" width="7.296875" style="15" customWidth="1"/>
    <col min="3863" max="3863" width="8.5" style="15" customWidth="1"/>
    <col min="3864" max="3864" width="7.296875" style="15" customWidth="1"/>
    <col min="3865" max="3865" width="8.69921875" style="15" customWidth="1"/>
    <col min="3866" max="3867" width="9" style="15" bestFit="1" customWidth="1"/>
    <col min="3868" max="3868" width="9.5" style="15" customWidth="1"/>
    <col min="3869" max="3869" width="9.5" style="15" bestFit="1" customWidth="1"/>
    <col min="3870" max="3870" width="9.796875" style="15" bestFit="1" customWidth="1"/>
    <col min="3871" max="4098" width="8.796875" style="15" customWidth="1"/>
    <col min="4099" max="4099" width="43.69921875" style="15" customWidth="1"/>
    <col min="4100" max="4100" width="10.5" style="15" customWidth="1"/>
    <col min="4101" max="4101" width="11.69921875" style="15" customWidth="1"/>
    <col min="4102" max="4102" width="11.796875" style="15" bestFit="1" customWidth="1"/>
    <col min="4103" max="4103" width="9.796875" style="15" customWidth="1"/>
    <col min="4104" max="4104" width="9" style="15" bestFit="1" customWidth="1"/>
    <col min="4105" max="4105" width="9" style="15" customWidth="1"/>
    <col min="4106" max="4107" width="12.5" style="15" customWidth="1"/>
    <col min="4108" max="4108" width="8.796875" style="15" customWidth="1"/>
    <col min="4109" max="4109" width="9" style="15" customWidth="1"/>
    <col min="4110" max="4111" width="9.796875" style="15" customWidth="1"/>
    <col min="4112" max="4112" width="7.19921875" style="15" customWidth="1"/>
    <col min="4113" max="4113" width="10.19921875" style="15" customWidth="1"/>
    <col min="4114" max="4114" width="8.296875" style="15" customWidth="1"/>
    <col min="4115" max="4115" width="9" style="15" customWidth="1"/>
    <col min="4116" max="4118" width="7.296875" style="15" customWidth="1"/>
    <col min="4119" max="4119" width="8.5" style="15" customWidth="1"/>
    <col min="4120" max="4120" width="7.296875" style="15" customWidth="1"/>
    <col min="4121" max="4121" width="8.69921875" style="15" customWidth="1"/>
    <col min="4122" max="4123" width="9" style="15" bestFit="1" customWidth="1"/>
    <col min="4124" max="4124" width="9.5" style="15" customWidth="1"/>
    <col min="4125" max="4125" width="9.5" style="15" bestFit="1" customWidth="1"/>
    <col min="4126" max="4126" width="9.796875" style="15" bestFit="1" customWidth="1"/>
    <col min="4127" max="4354" width="8.796875" style="15" customWidth="1"/>
    <col min="4355" max="4355" width="43.69921875" style="15" customWidth="1"/>
    <col min="4356" max="4356" width="10.5" style="15" customWidth="1"/>
    <col min="4357" max="4357" width="11.69921875" style="15" customWidth="1"/>
    <col min="4358" max="4358" width="11.796875" style="15" bestFit="1" customWidth="1"/>
    <col min="4359" max="4359" width="9.796875" style="15" customWidth="1"/>
    <col min="4360" max="4360" width="9" style="15" bestFit="1" customWidth="1"/>
    <col min="4361" max="4361" width="9" style="15" customWidth="1"/>
    <col min="4362" max="4363" width="12.5" style="15" customWidth="1"/>
    <col min="4364" max="4364" width="8.796875" style="15" customWidth="1"/>
    <col min="4365" max="4365" width="9" style="15" customWidth="1"/>
    <col min="4366" max="4367" width="9.796875" style="15" customWidth="1"/>
    <col min="4368" max="4368" width="7.19921875" style="15" customWidth="1"/>
    <col min="4369" max="4369" width="10.19921875" style="15" customWidth="1"/>
    <col min="4370" max="4370" width="8.296875" style="15" customWidth="1"/>
    <col min="4371" max="4371" width="9" style="15" customWidth="1"/>
    <col min="4372" max="4374" width="7.296875" style="15" customWidth="1"/>
    <col min="4375" max="4375" width="8.5" style="15" customWidth="1"/>
    <col min="4376" max="4376" width="7.296875" style="15" customWidth="1"/>
    <col min="4377" max="4377" width="8.69921875" style="15" customWidth="1"/>
    <col min="4378" max="4379" width="9" style="15" bestFit="1" customWidth="1"/>
    <col min="4380" max="4380" width="9.5" style="15" customWidth="1"/>
    <col min="4381" max="4381" width="9.5" style="15" bestFit="1" customWidth="1"/>
    <col min="4382" max="4382" width="9.796875" style="15" bestFit="1" customWidth="1"/>
    <col min="4383" max="4610" width="8.796875" style="15" customWidth="1"/>
    <col min="4611" max="4611" width="43.69921875" style="15" customWidth="1"/>
    <col min="4612" max="4612" width="10.5" style="15" customWidth="1"/>
    <col min="4613" max="4613" width="11.69921875" style="15" customWidth="1"/>
    <col min="4614" max="4614" width="11.796875" style="15" bestFit="1" customWidth="1"/>
    <col min="4615" max="4615" width="9.796875" style="15" customWidth="1"/>
    <col min="4616" max="4616" width="9" style="15" bestFit="1" customWidth="1"/>
    <col min="4617" max="4617" width="9" style="15" customWidth="1"/>
    <col min="4618" max="4619" width="12.5" style="15" customWidth="1"/>
    <col min="4620" max="4620" width="8.796875" style="15" customWidth="1"/>
    <col min="4621" max="4621" width="9" style="15" customWidth="1"/>
    <col min="4622" max="4623" width="9.796875" style="15" customWidth="1"/>
    <col min="4624" max="4624" width="7.19921875" style="15" customWidth="1"/>
    <col min="4625" max="4625" width="10.19921875" style="15" customWidth="1"/>
    <col min="4626" max="4626" width="8.296875" style="15" customWidth="1"/>
    <col min="4627" max="4627" width="9" style="15" customWidth="1"/>
    <col min="4628" max="4630" width="7.296875" style="15" customWidth="1"/>
    <col min="4631" max="4631" width="8.5" style="15" customWidth="1"/>
    <col min="4632" max="4632" width="7.296875" style="15" customWidth="1"/>
    <col min="4633" max="4633" width="8.69921875" style="15" customWidth="1"/>
    <col min="4634" max="4635" width="9" style="15" bestFit="1" customWidth="1"/>
    <col min="4636" max="4636" width="9.5" style="15" customWidth="1"/>
    <col min="4637" max="4637" width="9.5" style="15" bestFit="1" customWidth="1"/>
    <col min="4638" max="4638" width="9.796875" style="15" bestFit="1" customWidth="1"/>
    <col min="4639" max="4866" width="8.796875" style="15" customWidth="1"/>
    <col min="4867" max="4867" width="43.69921875" style="15" customWidth="1"/>
    <col min="4868" max="4868" width="10.5" style="15" customWidth="1"/>
    <col min="4869" max="4869" width="11.69921875" style="15" customWidth="1"/>
    <col min="4870" max="4870" width="11.796875" style="15" bestFit="1" customWidth="1"/>
    <col min="4871" max="4871" width="9.796875" style="15" customWidth="1"/>
    <col min="4872" max="4872" width="9" style="15" bestFit="1" customWidth="1"/>
    <col min="4873" max="4873" width="9" style="15" customWidth="1"/>
    <col min="4874" max="4875" width="12.5" style="15" customWidth="1"/>
    <col min="4876" max="4876" width="8.796875" style="15" customWidth="1"/>
    <col min="4877" max="4877" width="9" style="15" customWidth="1"/>
    <col min="4878" max="4879" width="9.796875" style="15" customWidth="1"/>
    <col min="4880" max="4880" width="7.19921875" style="15" customWidth="1"/>
    <col min="4881" max="4881" width="10.19921875" style="15" customWidth="1"/>
    <col min="4882" max="4882" width="8.296875" style="15" customWidth="1"/>
    <col min="4883" max="4883" width="9" style="15" customWidth="1"/>
    <col min="4884" max="4886" width="7.296875" style="15" customWidth="1"/>
    <col min="4887" max="4887" width="8.5" style="15" customWidth="1"/>
    <col min="4888" max="4888" width="7.296875" style="15" customWidth="1"/>
    <col min="4889" max="4889" width="8.69921875" style="15" customWidth="1"/>
    <col min="4890" max="4891" width="9" style="15" bestFit="1" customWidth="1"/>
    <col min="4892" max="4892" width="9.5" style="15" customWidth="1"/>
    <col min="4893" max="4893" width="9.5" style="15" bestFit="1" customWidth="1"/>
    <col min="4894" max="4894" width="9.796875" style="15" bestFit="1" customWidth="1"/>
    <col min="4895" max="5122" width="8.796875" style="15" customWidth="1"/>
    <col min="5123" max="5123" width="43.69921875" style="15" customWidth="1"/>
    <col min="5124" max="5124" width="10.5" style="15" customWidth="1"/>
    <col min="5125" max="5125" width="11.69921875" style="15" customWidth="1"/>
    <col min="5126" max="5126" width="11.796875" style="15" bestFit="1" customWidth="1"/>
    <col min="5127" max="5127" width="9.796875" style="15" customWidth="1"/>
    <col min="5128" max="5128" width="9" style="15" bestFit="1" customWidth="1"/>
    <col min="5129" max="5129" width="9" style="15" customWidth="1"/>
    <col min="5130" max="5131" width="12.5" style="15" customWidth="1"/>
    <col min="5132" max="5132" width="8.796875" style="15" customWidth="1"/>
    <col min="5133" max="5133" width="9" style="15" customWidth="1"/>
    <col min="5134" max="5135" width="9.796875" style="15" customWidth="1"/>
    <col min="5136" max="5136" width="7.19921875" style="15" customWidth="1"/>
    <col min="5137" max="5137" width="10.19921875" style="15" customWidth="1"/>
    <col min="5138" max="5138" width="8.296875" style="15" customWidth="1"/>
    <col min="5139" max="5139" width="9" style="15" customWidth="1"/>
    <col min="5140" max="5142" width="7.296875" style="15" customWidth="1"/>
    <col min="5143" max="5143" width="8.5" style="15" customWidth="1"/>
    <col min="5144" max="5144" width="7.296875" style="15" customWidth="1"/>
    <col min="5145" max="5145" width="8.69921875" style="15" customWidth="1"/>
    <col min="5146" max="5147" width="9" style="15" bestFit="1" customWidth="1"/>
    <col min="5148" max="5148" width="9.5" style="15" customWidth="1"/>
    <col min="5149" max="5149" width="9.5" style="15" bestFit="1" customWidth="1"/>
    <col min="5150" max="5150" width="9.796875" style="15" bestFit="1" customWidth="1"/>
    <col min="5151" max="5378" width="8.796875" style="15" customWidth="1"/>
    <col min="5379" max="5379" width="43.69921875" style="15" customWidth="1"/>
    <col min="5380" max="5380" width="10.5" style="15" customWidth="1"/>
    <col min="5381" max="5381" width="11.69921875" style="15" customWidth="1"/>
    <col min="5382" max="5382" width="11.796875" style="15" bestFit="1" customWidth="1"/>
    <col min="5383" max="5383" width="9.796875" style="15" customWidth="1"/>
    <col min="5384" max="5384" width="9" style="15" bestFit="1" customWidth="1"/>
    <col min="5385" max="5385" width="9" style="15" customWidth="1"/>
    <col min="5386" max="5387" width="12.5" style="15" customWidth="1"/>
    <col min="5388" max="5388" width="8.796875" style="15" customWidth="1"/>
    <col min="5389" max="5389" width="9" style="15" customWidth="1"/>
    <col min="5390" max="5391" width="9.796875" style="15" customWidth="1"/>
    <col min="5392" max="5392" width="7.19921875" style="15" customWidth="1"/>
    <col min="5393" max="5393" width="10.19921875" style="15" customWidth="1"/>
    <col min="5394" max="5394" width="8.296875" style="15" customWidth="1"/>
    <col min="5395" max="5395" width="9" style="15" customWidth="1"/>
    <col min="5396" max="5398" width="7.296875" style="15" customWidth="1"/>
    <col min="5399" max="5399" width="8.5" style="15" customWidth="1"/>
    <col min="5400" max="5400" width="7.296875" style="15" customWidth="1"/>
    <col min="5401" max="5401" width="8.69921875" style="15" customWidth="1"/>
    <col min="5402" max="5403" width="9" style="15" bestFit="1" customWidth="1"/>
    <col min="5404" max="5404" width="9.5" style="15" customWidth="1"/>
    <col min="5405" max="5405" width="9.5" style="15" bestFit="1" customWidth="1"/>
    <col min="5406" max="5406" width="9.796875" style="15" bestFit="1" customWidth="1"/>
    <col min="5407" max="5634" width="8.796875" style="15" customWidth="1"/>
    <col min="5635" max="5635" width="43.69921875" style="15" customWidth="1"/>
    <col min="5636" max="5636" width="10.5" style="15" customWidth="1"/>
    <col min="5637" max="5637" width="11.69921875" style="15" customWidth="1"/>
    <col min="5638" max="5638" width="11.796875" style="15" bestFit="1" customWidth="1"/>
    <col min="5639" max="5639" width="9.796875" style="15" customWidth="1"/>
    <col min="5640" max="5640" width="9" style="15" bestFit="1" customWidth="1"/>
    <col min="5641" max="5641" width="9" style="15" customWidth="1"/>
    <col min="5642" max="5643" width="12.5" style="15" customWidth="1"/>
    <col min="5644" max="5644" width="8.796875" style="15" customWidth="1"/>
    <col min="5645" max="5645" width="9" style="15" customWidth="1"/>
    <col min="5646" max="5647" width="9.796875" style="15" customWidth="1"/>
    <col min="5648" max="5648" width="7.19921875" style="15" customWidth="1"/>
    <col min="5649" max="5649" width="10.19921875" style="15" customWidth="1"/>
    <col min="5650" max="5650" width="8.296875" style="15" customWidth="1"/>
    <col min="5651" max="5651" width="9" style="15" customWidth="1"/>
    <col min="5652" max="5654" width="7.296875" style="15" customWidth="1"/>
    <col min="5655" max="5655" width="8.5" style="15" customWidth="1"/>
    <col min="5656" max="5656" width="7.296875" style="15" customWidth="1"/>
    <col min="5657" max="5657" width="8.69921875" style="15" customWidth="1"/>
    <col min="5658" max="5659" width="9" style="15" bestFit="1" customWidth="1"/>
    <col min="5660" max="5660" width="9.5" style="15" customWidth="1"/>
    <col min="5661" max="5661" width="9.5" style="15" bestFit="1" customWidth="1"/>
    <col min="5662" max="5662" width="9.796875" style="15" bestFit="1" customWidth="1"/>
    <col min="5663" max="5890" width="8.796875" style="15" customWidth="1"/>
    <col min="5891" max="5891" width="43.69921875" style="15" customWidth="1"/>
    <col min="5892" max="5892" width="10.5" style="15" customWidth="1"/>
    <col min="5893" max="5893" width="11.69921875" style="15" customWidth="1"/>
    <col min="5894" max="5894" width="11.796875" style="15" bestFit="1" customWidth="1"/>
    <col min="5895" max="5895" width="9.796875" style="15" customWidth="1"/>
    <col min="5896" max="5896" width="9" style="15" bestFit="1" customWidth="1"/>
    <col min="5897" max="5897" width="9" style="15" customWidth="1"/>
    <col min="5898" max="5899" width="12.5" style="15" customWidth="1"/>
    <col min="5900" max="5900" width="8.796875" style="15" customWidth="1"/>
    <col min="5901" max="5901" width="9" style="15" customWidth="1"/>
    <col min="5902" max="5903" width="9.796875" style="15" customWidth="1"/>
    <col min="5904" max="5904" width="7.19921875" style="15" customWidth="1"/>
    <col min="5905" max="5905" width="10.19921875" style="15" customWidth="1"/>
    <col min="5906" max="5906" width="8.296875" style="15" customWidth="1"/>
    <col min="5907" max="5907" width="9" style="15" customWidth="1"/>
    <col min="5908" max="5910" width="7.296875" style="15" customWidth="1"/>
    <col min="5911" max="5911" width="8.5" style="15" customWidth="1"/>
    <col min="5912" max="5912" width="7.296875" style="15" customWidth="1"/>
    <col min="5913" max="5913" width="8.69921875" style="15" customWidth="1"/>
    <col min="5914" max="5915" width="9" style="15" bestFit="1" customWidth="1"/>
    <col min="5916" max="5916" width="9.5" style="15" customWidth="1"/>
    <col min="5917" max="5917" width="9.5" style="15" bestFit="1" customWidth="1"/>
    <col min="5918" max="5918" width="9.796875" style="15" bestFit="1" customWidth="1"/>
    <col min="5919" max="6146" width="8.796875" style="15" customWidth="1"/>
    <col min="6147" max="6147" width="43.69921875" style="15" customWidth="1"/>
    <col min="6148" max="6148" width="10.5" style="15" customWidth="1"/>
    <col min="6149" max="6149" width="11.69921875" style="15" customWidth="1"/>
    <col min="6150" max="6150" width="11.796875" style="15" bestFit="1" customWidth="1"/>
    <col min="6151" max="6151" width="9.796875" style="15" customWidth="1"/>
    <col min="6152" max="6152" width="9" style="15" bestFit="1" customWidth="1"/>
    <col min="6153" max="6153" width="9" style="15" customWidth="1"/>
    <col min="6154" max="6155" width="12.5" style="15" customWidth="1"/>
    <col min="6156" max="6156" width="8.796875" style="15" customWidth="1"/>
    <col min="6157" max="6157" width="9" style="15" customWidth="1"/>
    <col min="6158" max="6159" width="9.796875" style="15" customWidth="1"/>
    <col min="6160" max="6160" width="7.19921875" style="15" customWidth="1"/>
    <col min="6161" max="6161" width="10.19921875" style="15" customWidth="1"/>
    <col min="6162" max="6162" width="8.296875" style="15" customWidth="1"/>
    <col min="6163" max="6163" width="9" style="15" customWidth="1"/>
    <col min="6164" max="6166" width="7.296875" style="15" customWidth="1"/>
    <col min="6167" max="6167" width="8.5" style="15" customWidth="1"/>
    <col min="6168" max="6168" width="7.296875" style="15" customWidth="1"/>
    <col min="6169" max="6169" width="8.69921875" style="15" customWidth="1"/>
    <col min="6170" max="6171" width="9" style="15" bestFit="1" customWidth="1"/>
    <col min="6172" max="6172" width="9.5" style="15" customWidth="1"/>
    <col min="6173" max="6173" width="9.5" style="15" bestFit="1" customWidth="1"/>
    <col min="6174" max="6174" width="9.796875" style="15" bestFit="1" customWidth="1"/>
    <col min="6175" max="6402" width="8.796875" style="15" customWidth="1"/>
    <col min="6403" max="6403" width="43.69921875" style="15" customWidth="1"/>
    <col min="6404" max="6404" width="10.5" style="15" customWidth="1"/>
    <col min="6405" max="6405" width="11.69921875" style="15" customWidth="1"/>
    <col min="6406" max="6406" width="11.796875" style="15" bestFit="1" customWidth="1"/>
    <col min="6407" max="6407" width="9.796875" style="15" customWidth="1"/>
    <col min="6408" max="6408" width="9" style="15" bestFit="1" customWidth="1"/>
    <col min="6409" max="6409" width="9" style="15" customWidth="1"/>
    <col min="6410" max="6411" width="12.5" style="15" customWidth="1"/>
    <col min="6412" max="6412" width="8.796875" style="15" customWidth="1"/>
    <col min="6413" max="6413" width="9" style="15" customWidth="1"/>
    <col min="6414" max="6415" width="9.796875" style="15" customWidth="1"/>
    <col min="6416" max="6416" width="7.19921875" style="15" customWidth="1"/>
    <col min="6417" max="6417" width="10.19921875" style="15" customWidth="1"/>
    <col min="6418" max="6418" width="8.296875" style="15" customWidth="1"/>
    <col min="6419" max="6419" width="9" style="15" customWidth="1"/>
    <col min="6420" max="6422" width="7.296875" style="15" customWidth="1"/>
    <col min="6423" max="6423" width="8.5" style="15" customWidth="1"/>
    <col min="6424" max="6424" width="7.296875" style="15" customWidth="1"/>
    <col min="6425" max="6425" width="8.69921875" style="15" customWidth="1"/>
    <col min="6426" max="6427" width="9" style="15" bestFit="1" customWidth="1"/>
    <col min="6428" max="6428" width="9.5" style="15" customWidth="1"/>
    <col min="6429" max="6429" width="9.5" style="15" bestFit="1" customWidth="1"/>
    <col min="6430" max="6430" width="9.796875" style="15" bestFit="1" customWidth="1"/>
    <col min="6431" max="6658" width="8.796875" style="15" customWidth="1"/>
    <col min="6659" max="6659" width="43.69921875" style="15" customWidth="1"/>
    <col min="6660" max="6660" width="10.5" style="15" customWidth="1"/>
    <col min="6661" max="6661" width="11.69921875" style="15" customWidth="1"/>
    <col min="6662" max="6662" width="11.796875" style="15" bestFit="1" customWidth="1"/>
    <col min="6663" max="6663" width="9.796875" style="15" customWidth="1"/>
    <col min="6664" max="6664" width="9" style="15" bestFit="1" customWidth="1"/>
    <col min="6665" max="6665" width="9" style="15" customWidth="1"/>
    <col min="6666" max="6667" width="12.5" style="15" customWidth="1"/>
    <col min="6668" max="6668" width="8.796875" style="15" customWidth="1"/>
    <col min="6669" max="6669" width="9" style="15" customWidth="1"/>
    <col min="6670" max="6671" width="9.796875" style="15" customWidth="1"/>
    <col min="6672" max="6672" width="7.19921875" style="15" customWidth="1"/>
    <col min="6673" max="6673" width="10.19921875" style="15" customWidth="1"/>
    <col min="6674" max="6674" width="8.296875" style="15" customWidth="1"/>
    <col min="6675" max="6675" width="9" style="15" customWidth="1"/>
    <col min="6676" max="6678" width="7.296875" style="15" customWidth="1"/>
    <col min="6679" max="6679" width="8.5" style="15" customWidth="1"/>
    <col min="6680" max="6680" width="7.296875" style="15" customWidth="1"/>
    <col min="6681" max="6681" width="8.69921875" style="15" customWidth="1"/>
    <col min="6682" max="6683" width="9" style="15" bestFit="1" customWidth="1"/>
    <col min="6684" max="6684" width="9.5" style="15" customWidth="1"/>
    <col min="6685" max="6685" width="9.5" style="15" bestFit="1" customWidth="1"/>
    <col min="6686" max="6686" width="9.796875" style="15" bestFit="1" customWidth="1"/>
    <col min="6687" max="6914" width="8.796875" style="15" customWidth="1"/>
    <col min="6915" max="6915" width="43.69921875" style="15" customWidth="1"/>
    <col min="6916" max="6916" width="10.5" style="15" customWidth="1"/>
    <col min="6917" max="6917" width="11.69921875" style="15" customWidth="1"/>
    <col min="6918" max="6918" width="11.796875" style="15" bestFit="1" customWidth="1"/>
    <col min="6919" max="6919" width="9.796875" style="15" customWidth="1"/>
    <col min="6920" max="6920" width="9" style="15" bestFit="1" customWidth="1"/>
    <col min="6921" max="6921" width="9" style="15" customWidth="1"/>
    <col min="6922" max="6923" width="12.5" style="15" customWidth="1"/>
    <col min="6924" max="6924" width="8.796875" style="15" customWidth="1"/>
    <col min="6925" max="6925" width="9" style="15" customWidth="1"/>
    <col min="6926" max="6927" width="9.796875" style="15" customWidth="1"/>
    <col min="6928" max="6928" width="7.19921875" style="15" customWidth="1"/>
    <col min="6929" max="6929" width="10.19921875" style="15" customWidth="1"/>
    <col min="6930" max="6930" width="8.296875" style="15" customWidth="1"/>
    <col min="6931" max="6931" width="9" style="15" customWidth="1"/>
    <col min="6932" max="6934" width="7.296875" style="15" customWidth="1"/>
    <col min="6935" max="6935" width="8.5" style="15" customWidth="1"/>
    <col min="6936" max="6936" width="7.296875" style="15" customWidth="1"/>
    <col min="6937" max="6937" width="8.69921875" style="15" customWidth="1"/>
    <col min="6938" max="6939" width="9" style="15" bestFit="1" customWidth="1"/>
    <col min="6940" max="6940" width="9.5" style="15" customWidth="1"/>
    <col min="6941" max="6941" width="9.5" style="15" bestFit="1" customWidth="1"/>
    <col min="6942" max="6942" width="9.796875" style="15" bestFit="1" customWidth="1"/>
    <col min="6943" max="7170" width="8.796875" style="15" customWidth="1"/>
    <col min="7171" max="7171" width="43.69921875" style="15" customWidth="1"/>
    <col min="7172" max="7172" width="10.5" style="15" customWidth="1"/>
    <col min="7173" max="7173" width="11.69921875" style="15" customWidth="1"/>
    <col min="7174" max="7174" width="11.796875" style="15" bestFit="1" customWidth="1"/>
    <col min="7175" max="7175" width="9.796875" style="15" customWidth="1"/>
    <col min="7176" max="7176" width="9" style="15" bestFit="1" customWidth="1"/>
    <col min="7177" max="7177" width="9" style="15" customWidth="1"/>
    <col min="7178" max="7179" width="12.5" style="15" customWidth="1"/>
    <col min="7180" max="7180" width="8.796875" style="15" customWidth="1"/>
    <col min="7181" max="7181" width="9" style="15" customWidth="1"/>
    <col min="7182" max="7183" width="9.796875" style="15" customWidth="1"/>
    <col min="7184" max="7184" width="7.19921875" style="15" customWidth="1"/>
    <col min="7185" max="7185" width="10.19921875" style="15" customWidth="1"/>
    <col min="7186" max="7186" width="8.296875" style="15" customWidth="1"/>
    <col min="7187" max="7187" width="9" style="15" customWidth="1"/>
    <col min="7188" max="7190" width="7.296875" style="15" customWidth="1"/>
    <col min="7191" max="7191" width="8.5" style="15" customWidth="1"/>
    <col min="7192" max="7192" width="7.296875" style="15" customWidth="1"/>
    <col min="7193" max="7193" width="8.69921875" style="15" customWidth="1"/>
    <col min="7194" max="7195" width="9" style="15" bestFit="1" customWidth="1"/>
    <col min="7196" max="7196" width="9.5" style="15" customWidth="1"/>
    <col min="7197" max="7197" width="9.5" style="15" bestFit="1" customWidth="1"/>
    <col min="7198" max="7198" width="9.796875" style="15" bestFit="1" customWidth="1"/>
    <col min="7199" max="7426" width="8.796875" style="15" customWidth="1"/>
    <col min="7427" max="7427" width="43.69921875" style="15" customWidth="1"/>
    <col min="7428" max="7428" width="10.5" style="15" customWidth="1"/>
    <col min="7429" max="7429" width="11.69921875" style="15" customWidth="1"/>
    <col min="7430" max="7430" width="11.796875" style="15" bestFit="1" customWidth="1"/>
    <col min="7431" max="7431" width="9.796875" style="15" customWidth="1"/>
    <col min="7432" max="7432" width="9" style="15" bestFit="1" customWidth="1"/>
    <col min="7433" max="7433" width="9" style="15" customWidth="1"/>
    <col min="7434" max="7435" width="12.5" style="15" customWidth="1"/>
    <col min="7436" max="7436" width="8.796875" style="15" customWidth="1"/>
    <col min="7437" max="7437" width="9" style="15" customWidth="1"/>
    <col min="7438" max="7439" width="9.796875" style="15" customWidth="1"/>
    <col min="7440" max="7440" width="7.19921875" style="15" customWidth="1"/>
    <col min="7441" max="7441" width="10.19921875" style="15" customWidth="1"/>
    <col min="7442" max="7442" width="8.296875" style="15" customWidth="1"/>
    <col min="7443" max="7443" width="9" style="15" customWidth="1"/>
    <col min="7444" max="7446" width="7.296875" style="15" customWidth="1"/>
    <col min="7447" max="7447" width="8.5" style="15" customWidth="1"/>
    <col min="7448" max="7448" width="7.296875" style="15" customWidth="1"/>
    <col min="7449" max="7449" width="8.69921875" style="15" customWidth="1"/>
    <col min="7450" max="7451" width="9" style="15" bestFit="1" customWidth="1"/>
    <col min="7452" max="7452" width="9.5" style="15" customWidth="1"/>
    <col min="7453" max="7453" width="9.5" style="15" bestFit="1" customWidth="1"/>
    <col min="7454" max="7454" width="9.796875" style="15" bestFit="1" customWidth="1"/>
    <col min="7455" max="7682" width="8.796875" style="15" customWidth="1"/>
    <col min="7683" max="7683" width="43.69921875" style="15" customWidth="1"/>
    <col min="7684" max="7684" width="10.5" style="15" customWidth="1"/>
    <col min="7685" max="7685" width="11.69921875" style="15" customWidth="1"/>
    <col min="7686" max="7686" width="11.796875" style="15" bestFit="1" customWidth="1"/>
    <col min="7687" max="7687" width="9.796875" style="15" customWidth="1"/>
    <col min="7688" max="7688" width="9" style="15" bestFit="1" customWidth="1"/>
    <col min="7689" max="7689" width="9" style="15" customWidth="1"/>
    <col min="7690" max="7691" width="12.5" style="15" customWidth="1"/>
    <col min="7692" max="7692" width="8.796875" style="15" customWidth="1"/>
    <col min="7693" max="7693" width="9" style="15" customWidth="1"/>
    <col min="7694" max="7695" width="9.796875" style="15" customWidth="1"/>
    <col min="7696" max="7696" width="7.19921875" style="15" customWidth="1"/>
    <col min="7697" max="7697" width="10.19921875" style="15" customWidth="1"/>
    <col min="7698" max="7698" width="8.296875" style="15" customWidth="1"/>
    <col min="7699" max="7699" width="9" style="15" customWidth="1"/>
    <col min="7700" max="7702" width="7.296875" style="15" customWidth="1"/>
    <col min="7703" max="7703" width="8.5" style="15" customWidth="1"/>
    <col min="7704" max="7704" width="7.296875" style="15" customWidth="1"/>
    <col min="7705" max="7705" width="8.69921875" style="15" customWidth="1"/>
    <col min="7706" max="7707" width="9" style="15" bestFit="1" customWidth="1"/>
    <col min="7708" max="7708" width="9.5" style="15" customWidth="1"/>
    <col min="7709" max="7709" width="9.5" style="15" bestFit="1" customWidth="1"/>
    <col min="7710" max="7710" width="9.796875" style="15" bestFit="1" customWidth="1"/>
    <col min="7711" max="7938" width="8.796875" style="15" customWidth="1"/>
    <col min="7939" max="7939" width="43.69921875" style="15" customWidth="1"/>
    <col min="7940" max="7940" width="10.5" style="15" customWidth="1"/>
    <col min="7941" max="7941" width="11.69921875" style="15" customWidth="1"/>
    <col min="7942" max="7942" width="11.796875" style="15" bestFit="1" customWidth="1"/>
    <col min="7943" max="7943" width="9.796875" style="15" customWidth="1"/>
    <col min="7944" max="7944" width="9" style="15" bestFit="1" customWidth="1"/>
    <col min="7945" max="7945" width="9" style="15" customWidth="1"/>
    <col min="7946" max="7947" width="12.5" style="15" customWidth="1"/>
    <col min="7948" max="7948" width="8.796875" style="15" customWidth="1"/>
    <col min="7949" max="7949" width="9" style="15" customWidth="1"/>
    <col min="7950" max="7951" width="9.796875" style="15" customWidth="1"/>
    <col min="7952" max="7952" width="7.19921875" style="15" customWidth="1"/>
    <col min="7953" max="7953" width="10.19921875" style="15" customWidth="1"/>
    <col min="7954" max="7954" width="8.296875" style="15" customWidth="1"/>
    <col min="7955" max="7955" width="9" style="15" customWidth="1"/>
    <col min="7956" max="7958" width="7.296875" style="15" customWidth="1"/>
    <col min="7959" max="7959" width="8.5" style="15" customWidth="1"/>
    <col min="7960" max="7960" width="7.296875" style="15" customWidth="1"/>
    <col min="7961" max="7961" width="8.69921875" style="15" customWidth="1"/>
    <col min="7962" max="7963" width="9" style="15" bestFit="1" customWidth="1"/>
    <col min="7964" max="7964" width="9.5" style="15" customWidth="1"/>
    <col min="7965" max="7965" width="9.5" style="15" bestFit="1" customWidth="1"/>
    <col min="7966" max="7966" width="9.796875" style="15" bestFit="1" customWidth="1"/>
    <col min="7967" max="8194" width="8.796875" style="15" customWidth="1"/>
    <col min="8195" max="8195" width="43.69921875" style="15" customWidth="1"/>
    <col min="8196" max="8196" width="10.5" style="15" customWidth="1"/>
    <col min="8197" max="8197" width="11.69921875" style="15" customWidth="1"/>
    <col min="8198" max="8198" width="11.796875" style="15" bestFit="1" customWidth="1"/>
    <col min="8199" max="8199" width="9.796875" style="15" customWidth="1"/>
    <col min="8200" max="8200" width="9" style="15" bestFit="1" customWidth="1"/>
    <col min="8201" max="8201" width="9" style="15" customWidth="1"/>
    <col min="8202" max="8203" width="12.5" style="15" customWidth="1"/>
    <col min="8204" max="8204" width="8.796875" style="15" customWidth="1"/>
    <col min="8205" max="8205" width="9" style="15" customWidth="1"/>
    <col min="8206" max="8207" width="9.796875" style="15" customWidth="1"/>
    <col min="8208" max="8208" width="7.19921875" style="15" customWidth="1"/>
    <col min="8209" max="8209" width="10.19921875" style="15" customWidth="1"/>
    <col min="8210" max="8210" width="8.296875" style="15" customWidth="1"/>
    <col min="8211" max="8211" width="9" style="15" customWidth="1"/>
    <col min="8212" max="8214" width="7.296875" style="15" customWidth="1"/>
    <col min="8215" max="8215" width="8.5" style="15" customWidth="1"/>
    <col min="8216" max="8216" width="7.296875" style="15" customWidth="1"/>
    <col min="8217" max="8217" width="8.69921875" style="15" customWidth="1"/>
    <col min="8218" max="8219" width="9" style="15" bestFit="1" customWidth="1"/>
    <col min="8220" max="8220" width="9.5" style="15" customWidth="1"/>
    <col min="8221" max="8221" width="9.5" style="15" bestFit="1" customWidth="1"/>
    <col min="8222" max="8222" width="9.796875" style="15" bestFit="1" customWidth="1"/>
    <col min="8223" max="8450" width="8.796875" style="15" customWidth="1"/>
    <col min="8451" max="8451" width="43.69921875" style="15" customWidth="1"/>
    <col min="8452" max="8452" width="10.5" style="15" customWidth="1"/>
    <col min="8453" max="8453" width="11.69921875" style="15" customWidth="1"/>
    <col min="8454" max="8454" width="11.796875" style="15" bestFit="1" customWidth="1"/>
    <col min="8455" max="8455" width="9.796875" style="15" customWidth="1"/>
    <col min="8456" max="8456" width="9" style="15" bestFit="1" customWidth="1"/>
    <col min="8457" max="8457" width="9" style="15" customWidth="1"/>
    <col min="8458" max="8459" width="12.5" style="15" customWidth="1"/>
    <col min="8460" max="8460" width="8.796875" style="15" customWidth="1"/>
    <col min="8461" max="8461" width="9" style="15" customWidth="1"/>
    <col min="8462" max="8463" width="9.796875" style="15" customWidth="1"/>
    <col min="8464" max="8464" width="7.19921875" style="15" customWidth="1"/>
    <col min="8465" max="8465" width="10.19921875" style="15" customWidth="1"/>
    <col min="8466" max="8466" width="8.296875" style="15" customWidth="1"/>
    <col min="8467" max="8467" width="9" style="15" customWidth="1"/>
    <col min="8468" max="8470" width="7.296875" style="15" customWidth="1"/>
    <col min="8471" max="8471" width="8.5" style="15" customWidth="1"/>
    <col min="8472" max="8472" width="7.296875" style="15" customWidth="1"/>
    <col min="8473" max="8473" width="8.69921875" style="15" customWidth="1"/>
    <col min="8474" max="8475" width="9" style="15" bestFit="1" customWidth="1"/>
    <col min="8476" max="8476" width="9.5" style="15" customWidth="1"/>
    <col min="8477" max="8477" width="9.5" style="15" bestFit="1" customWidth="1"/>
    <col min="8478" max="8478" width="9.796875" style="15" bestFit="1" customWidth="1"/>
    <col min="8479" max="8706" width="8.796875" style="15" customWidth="1"/>
    <col min="8707" max="8707" width="43.69921875" style="15" customWidth="1"/>
    <col min="8708" max="8708" width="10.5" style="15" customWidth="1"/>
    <col min="8709" max="8709" width="11.69921875" style="15" customWidth="1"/>
    <col min="8710" max="8710" width="11.796875" style="15" bestFit="1" customWidth="1"/>
    <col min="8711" max="8711" width="9.796875" style="15" customWidth="1"/>
    <col min="8712" max="8712" width="9" style="15" bestFit="1" customWidth="1"/>
    <col min="8713" max="8713" width="9" style="15" customWidth="1"/>
    <col min="8714" max="8715" width="12.5" style="15" customWidth="1"/>
    <col min="8716" max="8716" width="8.796875" style="15" customWidth="1"/>
    <col min="8717" max="8717" width="9" style="15" customWidth="1"/>
    <col min="8718" max="8719" width="9.796875" style="15" customWidth="1"/>
    <col min="8720" max="8720" width="7.19921875" style="15" customWidth="1"/>
    <col min="8721" max="8721" width="10.19921875" style="15" customWidth="1"/>
    <col min="8722" max="8722" width="8.296875" style="15" customWidth="1"/>
    <col min="8723" max="8723" width="9" style="15" customWidth="1"/>
    <col min="8724" max="8726" width="7.296875" style="15" customWidth="1"/>
    <col min="8727" max="8727" width="8.5" style="15" customWidth="1"/>
    <col min="8728" max="8728" width="7.296875" style="15" customWidth="1"/>
    <col min="8729" max="8729" width="8.69921875" style="15" customWidth="1"/>
    <col min="8730" max="8731" width="9" style="15" bestFit="1" customWidth="1"/>
    <col min="8732" max="8732" width="9.5" style="15" customWidth="1"/>
    <col min="8733" max="8733" width="9.5" style="15" bestFit="1" customWidth="1"/>
    <col min="8734" max="8734" width="9.796875" style="15" bestFit="1" customWidth="1"/>
    <col min="8735" max="8962" width="8.796875" style="15" customWidth="1"/>
    <col min="8963" max="8963" width="43.69921875" style="15" customWidth="1"/>
    <col min="8964" max="8964" width="10.5" style="15" customWidth="1"/>
    <col min="8965" max="8965" width="11.69921875" style="15" customWidth="1"/>
    <col min="8966" max="8966" width="11.796875" style="15" bestFit="1" customWidth="1"/>
    <col min="8967" max="8967" width="9.796875" style="15" customWidth="1"/>
    <col min="8968" max="8968" width="9" style="15" bestFit="1" customWidth="1"/>
    <col min="8969" max="8969" width="9" style="15" customWidth="1"/>
    <col min="8970" max="8971" width="12.5" style="15" customWidth="1"/>
    <col min="8972" max="8972" width="8.796875" style="15" customWidth="1"/>
    <col min="8973" max="8973" width="9" style="15" customWidth="1"/>
    <col min="8974" max="8975" width="9.796875" style="15" customWidth="1"/>
    <col min="8976" max="8976" width="7.19921875" style="15" customWidth="1"/>
    <col min="8977" max="8977" width="10.19921875" style="15" customWidth="1"/>
    <col min="8978" max="8978" width="8.296875" style="15" customWidth="1"/>
    <col min="8979" max="8979" width="9" style="15" customWidth="1"/>
    <col min="8980" max="8982" width="7.296875" style="15" customWidth="1"/>
    <col min="8983" max="8983" width="8.5" style="15" customWidth="1"/>
    <col min="8984" max="8984" width="7.296875" style="15" customWidth="1"/>
    <col min="8985" max="8985" width="8.69921875" style="15" customWidth="1"/>
    <col min="8986" max="8987" width="9" style="15" bestFit="1" customWidth="1"/>
    <col min="8988" max="8988" width="9.5" style="15" customWidth="1"/>
    <col min="8989" max="8989" width="9.5" style="15" bestFit="1" customWidth="1"/>
    <col min="8990" max="8990" width="9.796875" style="15" bestFit="1" customWidth="1"/>
    <col min="8991" max="9218" width="8.796875" style="15" customWidth="1"/>
    <col min="9219" max="9219" width="43.69921875" style="15" customWidth="1"/>
    <col min="9220" max="9220" width="10.5" style="15" customWidth="1"/>
    <col min="9221" max="9221" width="11.69921875" style="15" customWidth="1"/>
    <col min="9222" max="9222" width="11.796875" style="15" bestFit="1" customWidth="1"/>
    <col min="9223" max="9223" width="9.796875" style="15" customWidth="1"/>
    <col min="9224" max="9224" width="9" style="15" bestFit="1" customWidth="1"/>
    <col min="9225" max="9225" width="9" style="15" customWidth="1"/>
    <col min="9226" max="9227" width="12.5" style="15" customWidth="1"/>
    <col min="9228" max="9228" width="8.796875" style="15" customWidth="1"/>
    <col min="9229" max="9229" width="9" style="15" customWidth="1"/>
    <col min="9230" max="9231" width="9.796875" style="15" customWidth="1"/>
    <col min="9232" max="9232" width="7.19921875" style="15" customWidth="1"/>
    <col min="9233" max="9233" width="10.19921875" style="15" customWidth="1"/>
    <col min="9234" max="9234" width="8.296875" style="15" customWidth="1"/>
    <col min="9235" max="9235" width="9" style="15" customWidth="1"/>
    <col min="9236" max="9238" width="7.296875" style="15" customWidth="1"/>
    <col min="9239" max="9239" width="8.5" style="15" customWidth="1"/>
    <col min="9240" max="9240" width="7.296875" style="15" customWidth="1"/>
    <col min="9241" max="9241" width="8.69921875" style="15" customWidth="1"/>
    <col min="9242" max="9243" width="9" style="15" bestFit="1" customWidth="1"/>
    <col min="9244" max="9244" width="9.5" style="15" customWidth="1"/>
    <col min="9245" max="9245" width="9.5" style="15" bestFit="1" customWidth="1"/>
    <col min="9246" max="9246" width="9.796875" style="15" bestFit="1" customWidth="1"/>
    <col min="9247" max="9474" width="8.796875" style="15" customWidth="1"/>
    <col min="9475" max="9475" width="43.69921875" style="15" customWidth="1"/>
    <col min="9476" max="9476" width="10.5" style="15" customWidth="1"/>
    <col min="9477" max="9477" width="11.69921875" style="15" customWidth="1"/>
    <col min="9478" max="9478" width="11.796875" style="15" bestFit="1" customWidth="1"/>
    <col min="9479" max="9479" width="9.796875" style="15" customWidth="1"/>
    <col min="9480" max="9480" width="9" style="15" bestFit="1" customWidth="1"/>
    <col min="9481" max="9481" width="9" style="15" customWidth="1"/>
    <col min="9482" max="9483" width="12.5" style="15" customWidth="1"/>
    <col min="9484" max="9484" width="8.796875" style="15" customWidth="1"/>
    <col min="9485" max="9485" width="9" style="15" customWidth="1"/>
    <col min="9486" max="9487" width="9.796875" style="15" customWidth="1"/>
    <col min="9488" max="9488" width="7.19921875" style="15" customWidth="1"/>
    <col min="9489" max="9489" width="10.19921875" style="15" customWidth="1"/>
    <col min="9490" max="9490" width="8.296875" style="15" customWidth="1"/>
    <col min="9491" max="9491" width="9" style="15" customWidth="1"/>
    <col min="9492" max="9494" width="7.296875" style="15" customWidth="1"/>
    <col min="9495" max="9495" width="8.5" style="15" customWidth="1"/>
    <col min="9496" max="9496" width="7.296875" style="15" customWidth="1"/>
    <col min="9497" max="9497" width="8.69921875" style="15" customWidth="1"/>
    <col min="9498" max="9499" width="9" style="15" bestFit="1" customWidth="1"/>
    <col min="9500" max="9500" width="9.5" style="15" customWidth="1"/>
    <col min="9501" max="9501" width="9.5" style="15" bestFit="1" customWidth="1"/>
    <col min="9502" max="9502" width="9.796875" style="15" bestFit="1" customWidth="1"/>
    <col min="9503" max="9730" width="8.796875" style="15" customWidth="1"/>
    <col min="9731" max="9731" width="43.69921875" style="15" customWidth="1"/>
    <col min="9732" max="9732" width="10.5" style="15" customWidth="1"/>
    <col min="9733" max="9733" width="11.69921875" style="15" customWidth="1"/>
    <col min="9734" max="9734" width="11.796875" style="15" bestFit="1" customWidth="1"/>
    <col min="9735" max="9735" width="9.796875" style="15" customWidth="1"/>
    <col min="9736" max="9736" width="9" style="15" bestFit="1" customWidth="1"/>
    <col min="9737" max="9737" width="9" style="15" customWidth="1"/>
    <col min="9738" max="9739" width="12.5" style="15" customWidth="1"/>
    <col min="9740" max="9740" width="8.796875" style="15" customWidth="1"/>
    <col min="9741" max="9741" width="9" style="15" customWidth="1"/>
    <col min="9742" max="9743" width="9.796875" style="15" customWidth="1"/>
    <col min="9744" max="9744" width="7.19921875" style="15" customWidth="1"/>
    <col min="9745" max="9745" width="10.19921875" style="15" customWidth="1"/>
    <col min="9746" max="9746" width="8.296875" style="15" customWidth="1"/>
    <col min="9747" max="9747" width="9" style="15" customWidth="1"/>
    <col min="9748" max="9750" width="7.296875" style="15" customWidth="1"/>
    <col min="9751" max="9751" width="8.5" style="15" customWidth="1"/>
    <col min="9752" max="9752" width="7.296875" style="15" customWidth="1"/>
    <col min="9753" max="9753" width="8.69921875" style="15" customWidth="1"/>
    <col min="9754" max="9755" width="9" style="15" bestFit="1" customWidth="1"/>
    <col min="9756" max="9756" width="9.5" style="15" customWidth="1"/>
    <col min="9757" max="9757" width="9.5" style="15" bestFit="1" customWidth="1"/>
    <col min="9758" max="9758" width="9.796875" style="15" bestFit="1" customWidth="1"/>
    <col min="9759" max="9986" width="8.796875" style="15" customWidth="1"/>
    <col min="9987" max="9987" width="43.69921875" style="15" customWidth="1"/>
    <col min="9988" max="9988" width="10.5" style="15" customWidth="1"/>
    <col min="9989" max="9989" width="11.69921875" style="15" customWidth="1"/>
    <col min="9990" max="9990" width="11.796875" style="15" bestFit="1" customWidth="1"/>
    <col min="9991" max="9991" width="9.796875" style="15" customWidth="1"/>
    <col min="9992" max="9992" width="9" style="15" bestFit="1" customWidth="1"/>
    <col min="9993" max="9993" width="9" style="15" customWidth="1"/>
    <col min="9994" max="9995" width="12.5" style="15" customWidth="1"/>
    <col min="9996" max="9996" width="8.796875" style="15" customWidth="1"/>
    <col min="9997" max="9997" width="9" style="15" customWidth="1"/>
    <col min="9998" max="9999" width="9.796875" style="15" customWidth="1"/>
    <col min="10000" max="10000" width="7.19921875" style="15" customWidth="1"/>
    <col min="10001" max="10001" width="10.19921875" style="15" customWidth="1"/>
    <col min="10002" max="10002" width="8.296875" style="15" customWidth="1"/>
    <col min="10003" max="10003" width="9" style="15" customWidth="1"/>
    <col min="10004" max="10006" width="7.296875" style="15" customWidth="1"/>
    <col min="10007" max="10007" width="8.5" style="15" customWidth="1"/>
    <col min="10008" max="10008" width="7.296875" style="15" customWidth="1"/>
    <col min="10009" max="10009" width="8.69921875" style="15" customWidth="1"/>
    <col min="10010" max="10011" width="9" style="15" bestFit="1" customWidth="1"/>
    <col min="10012" max="10012" width="9.5" style="15" customWidth="1"/>
    <col min="10013" max="10013" width="9.5" style="15" bestFit="1" customWidth="1"/>
    <col min="10014" max="10014" width="9.796875" style="15" bestFit="1" customWidth="1"/>
    <col min="10015" max="10242" width="8.796875" style="15" customWidth="1"/>
    <col min="10243" max="10243" width="43.69921875" style="15" customWidth="1"/>
    <col min="10244" max="10244" width="10.5" style="15" customWidth="1"/>
    <col min="10245" max="10245" width="11.69921875" style="15" customWidth="1"/>
    <col min="10246" max="10246" width="11.796875" style="15" bestFit="1" customWidth="1"/>
    <col min="10247" max="10247" width="9.796875" style="15" customWidth="1"/>
    <col min="10248" max="10248" width="9" style="15" bestFit="1" customWidth="1"/>
    <col min="10249" max="10249" width="9" style="15" customWidth="1"/>
    <col min="10250" max="10251" width="12.5" style="15" customWidth="1"/>
    <col min="10252" max="10252" width="8.796875" style="15" customWidth="1"/>
    <col min="10253" max="10253" width="9" style="15" customWidth="1"/>
    <col min="10254" max="10255" width="9.796875" style="15" customWidth="1"/>
    <col min="10256" max="10256" width="7.19921875" style="15" customWidth="1"/>
    <col min="10257" max="10257" width="10.19921875" style="15" customWidth="1"/>
    <col min="10258" max="10258" width="8.296875" style="15" customWidth="1"/>
    <col min="10259" max="10259" width="9" style="15" customWidth="1"/>
    <col min="10260" max="10262" width="7.296875" style="15" customWidth="1"/>
    <col min="10263" max="10263" width="8.5" style="15" customWidth="1"/>
    <col min="10264" max="10264" width="7.296875" style="15" customWidth="1"/>
    <col min="10265" max="10265" width="8.69921875" style="15" customWidth="1"/>
    <col min="10266" max="10267" width="9" style="15" bestFit="1" customWidth="1"/>
    <col min="10268" max="10268" width="9.5" style="15" customWidth="1"/>
    <col min="10269" max="10269" width="9.5" style="15" bestFit="1" customWidth="1"/>
    <col min="10270" max="10270" width="9.796875" style="15" bestFit="1" customWidth="1"/>
    <col min="10271" max="10498" width="8.796875" style="15" customWidth="1"/>
    <col min="10499" max="10499" width="43.69921875" style="15" customWidth="1"/>
    <col min="10500" max="10500" width="10.5" style="15" customWidth="1"/>
    <col min="10501" max="10501" width="11.69921875" style="15" customWidth="1"/>
    <col min="10502" max="10502" width="11.796875" style="15" bestFit="1" customWidth="1"/>
    <col min="10503" max="10503" width="9.796875" style="15" customWidth="1"/>
    <col min="10504" max="10504" width="9" style="15" bestFit="1" customWidth="1"/>
    <col min="10505" max="10505" width="9" style="15" customWidth="1"/>
    <col min="10506" max="10507" width="12.5" style="15" customWidth="1"/>
    <col min="10508" max="10508" width="8.796875" style="15" customWidth="1"/>
    <col min="10509" max="10509" width="9" style="15" customWidth="1"/>
    <col min="10510" max="10511" width="9.796875" style="15" customWidth="1"/>
    <col min="10512" max="10512" width="7.19921875" style="15" customWidth="1"/>
    <col min="10513" max="10513" width="10.19921875" style="15" customWidth="1"/>
    <col min="10514" max="10514" width="8.296875" style="15" customWidth="1"/>
    <col min="10515" max="10515" width="9" style="15" customWidth="1"/>
    <col min="10516" max="10518" width="7.296875" style="15" customWidth="1"/>
    <col min="10519" max="10519" width="8.5" style="15" customWidth="1"/>
    <col min="10520" max="10520" width="7.296875" style="15" customWidth="1"/>
    <col min="10521" max="10521" width="8.69921875" style="15" customWidth="1"/>
    <col min="10522" max="10523" width="9" style="15" bestFit="1" customWidth="1"/>
    <col min="10524" max="10524" width="9.5" style="15" customWidth="1"/>
    <col min="10525" max="10525" width="9.5" style="15" bestFit="1" customWidth="1"/>
    <col min="10526" max="10526" width="9.796875" style="15" bestFit="1" customWidth="1"/>
    <col min="10527" max="10754" width="8.796875" style="15" customWidth="1"/>
    <col min="10755" max="10755" width="43.69921875" style="15" customWidth="1"/>
    <col min="10756" max="10756" width="10.5" style="15" customWidth="1"/>
    <col min="10757" max="10757" width="11.69921875" style="15" customWidth="1"/>
    <col min="10758" max="10758" width="11.796875" style="15" bestFit="1" customWidth="1"/>
    <col min="10759" max="10759" width="9.796875" style="15" customWidth="1"/>
    <col min="10760" max="10760" width="9" style="15" bestFit="1" customWidth="1"/>
    <col min="10761" max="10761" width="9" style="15" customWidth="1"/>
    <col min="10762" max="10763" width="12.5" style="15" customWidth="1"/>
    <col min="10764" max="10764" width="8.796875" style="15" customWidth="1"/>
    <col min="10765" max="10765" width="9" style="15" customWidth="1"/>
    <col min="10766" max="10767" width="9.796875" style="15" customWidth="1"/>
    <col min="10768" max="10768" width="7.19921875" style="15" customWidth="1"/>
    <col min="10769" max="10769" width="10.19921875" style="15" customWidth="1"/>
    <col min="10770" max="10770" width="8.296875" style="15" customWidth="1"/>
    <col min="10771" max="10771" width="9" style="15" customWidth="1"/>
    <col min="10772" max="10774" width="7.296875" style="15" customWidth="1"/>
    <col min="10775" max="10775" width="8.5" style="15" customWidth="1"/>
    <col min="10776" max="10776" width="7.296875" style="15" customWidth="1"/>
    <col min="10777" max="10777" width="8.69921875" style="15" customWidth="1"/>
    <col min="10778" max="10779" width="9" style="15" bestFit="1" customWidth="1"/>
    <col min="10780" max="10780" width="9.5" style="15" customWidth="1"/>
    <col min="10781" max="10781" width="9.5" style="15" bestFit="1" customWidth="1"/>
    <col min="10782" max="10782" width="9.796875" style="15" bestFit="1" customWidth="1"/>
    <col min="10783" max="11010" width="8.796875" style="15" customWidth="1"/>
    <col min="11011" max="11011" width="43.69921875" style="15" customWidth="1"/>
    <col min="11012" max="11012" width="10.5" style="15" customWidth="1"/>
    <col min="11013" max="11013" width="11.69921875" style="15" customWidth="1"/>
    <col min="11014" max="11014" width="11.796875" style="15" bestFit="1" customWidth="1"/>
    <col min="11015" max="11015" width="9.796875" style="15" customWidth="1"/>
    <col min="11016" max="11016" width="9" style="15" bestFit="1" customWidth="1"/>
    <col min="11017" max="11017" width="9" style="15" customWidth="1"/>
    <col min="11018" max="11019" width="12.5" style="15" customWidth="1"/>
    <col min="11020" max="11020" width="8.796875" style="15" customWidth="1"/>
    <col min="11021" max="11021" width="9" style="15" customWidth="1"/>
    <col min="11022" max="11023" width="9.796875" style="15" customWidth="1"/>
    <col min="11024" max="11024" width="7.19921875" style="15" customWidth="1"/>
    <col min="11025" max="11025" width="10.19921875" style="15" customWidth="1"/>
    <col min="11026" max="11026" width="8.296875" style="15" customWidth="1"/>
    <col min="11027" max="11027" width="9" style="15" customWidth="1"/>
    <col min="11028" max="11030" width="7.296875" style="15" customWidth="1"/>
    <col min="11031" max="11031" width="8.5" style="15" customWidth="1"/>
    <col min="11032" max="11032" width="7.296875" style="15" customWidth="1"/>
    <col min="11033" max="11033" width="8.69921875" style="15" customWidth="1"/>
    <col min="11034" max="11035" width="9" style="15" bestFit="1" customWidth="1"/>
    <col min="11036" max="11036" width="9.5" style="15" customWidth="1"/>
    <col min="11037" max="11037" width="9.5" style="15" bestFit="1" customWidth="1"/>
    <col min="11038" max="11038" width="9.796875" style="15" bestFit="1" customWidth="1"/>
    <col min="11039" max="11266" width="8.796875" style="15" customWidth="1"/>
    <col min="11267" max="11267" width="43.69921875" style="15" customWidth="1"/>
    <col min="11268" max="11268" width="10.5" style="15" customWidth="1"/>
    <col min="11269" max="11269" width="11.69921875" style="15" customWidth="1"/>
    <col min="11270" max="11270" width="11.796875" style="15" bestFit="1" customWidth="1"/>
    <col min="11271" max="11271" width="9.796875" style="15" customWidth="1"/>
    <col min="11272" max="11272" width="9" style="15" bestFit="1" customWidth="1"/>
    <col min="11273" max="11273" width="9" style="15" customWidth="1"/>
    <col min="11274" max="11275" width="12.5" style="15" customWidth="1"/>
    <col min="11276" max="11276" width="8.796875" style="15" customWidth="1"/>
    <col min="11277" max="11277" width="9" style="15" customWidth="1"/>
    <col min="11278" max="11279" width="9.796875" style="15" customWidth="1"/>
    <col min="11280" max="11280" width="7.19921875" style="15" customWidth="1"/>
    <col min="11281" max="11281" width="10.19921875" style="15" customWidth="1"/>
    <col min="11282" max="11282" width="8.296875" style="15" customWidth="1"/>
    <col min="11283" max="11283" width="9" style="15" customWidth="1"/>
    <col min="11284" max="11286" width="7.296875" style="15" customWidth="1"/>
    <col min="11287" max="11287" width="8.5" style="15" customWidth="1"/>
    <col min="11288" max="11288" width="7.296875" style="15" customWidth="1"/>
    <col min="11289" max="11289" width="8.69921875" style="15" customWidth="1"/>
    <col min="11290" max="11291" width="9" style="15" bestFit="1" customWidth="1"/>
    <col min="11292" max="11292" width="9.5" style="15" customWidth="1"/>
    <col min="11293" max="11293" width="9.5" style="15" bestFit="1" customWidth="1"/>
    <col min="11294" max="11294" width="9.796875" style="15" bestFit="1" customWidth="1"/>
    <col min="11295" max="11522" width="8.796875" style="15" customWidth="1"/>
    <col min="11523" max="11523" width="43.69921875" style="15" customWidth="1"/>
    <col min="11524" max="11524" width="10.5" style="15" customWidth="1"/>
    <col min="11525" max="11525" width="11.69921875" style="15" customWidth="1"/>
    <col min="11526" max="11526" width="11.796875" style="15" bestFit="1" customWidth="1"/>
    <col min="11527" max="11527" width="9.796875" style="15" customWidth="1"/>
    <col min="11528" max="11528" width="9" style="15" bestFit="1" customWidth="1"/>
    <col min="11529" max="11529" width="9" style="15" customWidth="1"/>
    <col min="11530" max="11531" width="12.5" style="15" customWidth="1"/>
    <col min="11532" max="11532" width="8.796875" style="15" customWidth="1"/>
    <col min="11533" max="11533" width="9" style="15" customWidth="1"/>
    <col min="11534" max="11535" width="9.796875" style="15" customWidth="1"/>
    <col min="11536" max="11536" width="7.19921875" style="15" customWidth="1"/>
    <col min="11537" max="11537" width="10.19921875" style="15" customWidth="1"/>
    <col min="11538" max="11538" width="8.296875" style="15" customWidth="1"/>
    <col min="11539" max="11539" width="9" style="15" customWidth="1"/>
    <col min="11540" max="11542" width="7.296875" style="15" customWidth="1"/>
    <col min="11543" max="11543" width="8.5" style="15" customWidth="1"/>
    <col min="11544" max="11544" width="7.296875" style="15" customWidth="1"/>
    <col min="11545" max="11545" width="8.69921875" style="15" customWidth="1"/>
    <col min="11546" max="11547" width="9" style="15" bestFit="1" customWidth="1"/>
    <col min="11548" max="11548" width="9.5" style="15" customWidth="1"/>
    <col min="11549" max="11549" width="9.5" style="15" bestFit="1" customWidth="1"/>
    <col min="11550" max="11550" width="9.796875" style="15" bestFit="1" customWidth="1"/>
    <col min="11551" max="11778" width="8.796875" style="15" customWidth="1"/>
    <col min="11779" max="11779" width="43.69921875" style="15" customWidth="1"/>
    <col min="11780" max="11780" width="10.5" style="15" customWidth="1"/>
    <col min="11781" max="11781" width="11.69921875" style="15" customWidth="1"/>
    <col min="11782" max="11782" width="11.796875" style="15" bestFit="1" customWidth="1"/>
    <col min="11783" max="11783" width="9.796875" style="15" customWidth="1"/>
    <col min="11784" max="11784" width="9" style="15" bestFit="1" customWidth="1"/>
    <col min="11785" max="11785" width="9" style="15" customWidth="1"/>
    <col min="11786" max="11787" width="12.5" style="15" customWidth="1"/>
    <col min="11788" max="11788" width="8.796875" style="15" customWidth="1"/>
    <col min="11789" max="11789" width="9" style="15" customWidth="1"/>
    <col min="11790" max="11791" width="9.796875" style="15" customWidth="1"/>
    <col min="11792" max="11792" width="7.19921875" style="15" customWidth="1"/>
    <col min="11793" max="11793" width="10.19921875" style="15" customWidth="1"/>
    <col min="11794" max="11794" width="8.296875" style="15" customWidth="1"/>
    <col min="11795" max="11795" width="9" style="15" customWidth="1"/>
    <col min="11796" max="11798" width="7.296875" style="15" customWidth="1"/>
    <col min="11799" max="11799" width="8.5" style="15" customWidth="1"/>
    <col min="11800" max="11800" width="7.296875" style="15" customWidth="1"/>
    <col min="11801" max="11801" width="8.69921875" style="15" customWidth="1"/>
    <col min="11802" max="11803" width="9" style="15" bestFit="1" customWidth="1"/>
    <col min="11804" max="11804" width="9.5" style="15" customWidth="1"/>
    <col min="11805" max="11805" width="9.5" style="15" bestFit="1" customWidth="1"/>
    <col min="11806" max="11806" width="9.796875" style="15" bestFit="1" customWidth="1"/>
    <col min="11807" max="12034" width="8.796875" style="15" customWidth="1"/>
    <col min="12035" max="12035" width="43.69921875" style="15" customWidth="1"/>
    <col min="12036" max="12036" width="10.5" style="15" customWidth="1"/>
    <col min="12037" max="12037" width="11.69921875" style="15" customWidth="1"/>
    <col min="12038" max="12038" width="11.796875" style="15" bestFit="1" customWidth="1"/>
    <col min="12039" max="12039" width="9.796875" style="15" customWidth="1"/>
    <col min="12040" max="12040" width="9" style="15" bestFit="1" customWidth="1"/>
    <col min="12041" max="12041" width="9" style="15" customWidth="1"/>
    <col min="12042" max="12043" width="12.5" style="15" customWidth="1"/>
    <col min="12044" max="12044" width="8.796875" style="15" customWidth="1"/>
    <col min="12045" max="12045" width="9" style="15" customWidth="1"/>
    <col min="12046" max="12047" width="9.796875" style="15" customWidth="1"/>
    <col min="12048" max="12048" width="7.19921875" style="15" customWidth="1"/>
    <col min="12049" max="12049" width="10.19921875" style="15" customWidth="1"/>
    <col min="12050" max="12050" width="8.296875" style="15" customWidth="1"/>
    <col min="12051" max="12051" width="9" style="15" customWidth="1"/>
    <col min="12052" max="12054" width="7.296875" style="15" customWidth="1"/>
    <col min="12055" max="12055" width="8.5" style="15" customWidth="1"/>
    <col min="12056" max="12056" width="7.296875" style="15" customWidth="1"/>
    <col min="12057" max="12057" width="8.69921875" style="15" customWidth="1"/>
    <col min="12058" max="12059" width="9" style="15" bestFit="1" customWidth="1"/>
    <col min="12060" max="12060" width="9.5" style="15" customWidth="1"/>
    <col min="12061" max="12061" width="9.5" style="15" bestFit="1" customWidth="1"/>
    <col min="12062" max="12062" width="9.796875" style="15" bestFit="1" customWidth="1"/>
    <col min="12063" max="12290" width="8.796875" style="15" customWidth="1"/>
    <col min="12291" max="12291" width="43.69921875" style="15" customWidth="1"/>
    <col min="12292" max="12292" width="10.5" style="15" customWidth="1"/>
    <col min="12293" max="12293" width="11.69921875" style="15" customWidth="1"/>
    <col min="12294" max="12294" width="11.796875" style="15" bestFit="1" customWidth="1"/>
    <col min="12295" max="12295" width="9.796875" style="15" customWidth="1"/>
    <col min="12296" max="12296" width="9" style="15" bestFit="1" customWidth="1"/>
    <col min="12297" max="12297" width="9" style="15" customWidth="1"/>
    <col min="12298" max="12299" width="12.5" style="15" customWidth="1"/>
    <col min="12300" max="12300" width="8.796875" style="15" customWidth="1"/>
    <col min="12301" max="12301" width="9" style="15" customWidth="1"/>
    <col min="12302" max="12303" width="9.796875" style="15" customWidth="1"/>
    <col min="12304" max="12304" width="7.19921875" style="15" customWidth="1"/>
    <col min="12305" max="12305" width="10.19921875" style="15" customWidth="1"/>
    <col min="12306" max="12306" width="8.296875" style="15" customWidth="1"/>
    <col min="12307" max="12307" width="9" style="15" customWidth="1"/>
    <col min="12308" max="12310" width="7.296875" style="15" customWidth="1"/>
    <col min="12311" max="12311" width="8.5" style="15" customWidth="1"/>
    <col min="12312" max="12312" width="7.296875" style="15" customWidth="1"/>
    <col min="12313" max="12313" width="8.69921875" style="15" customWidth="1"/>
    <col min="12314" max="12315" width="9" style="15" bestFit="1" customWidth="1"/>
    <col min="12316" max="12316" width="9.5" style="15" customWidth="1"/>
    <col min="12317" max="12317" width="9.5" style="15" bestFit="1" customWidth="1"/>
    <col min="12318" max="12318" width="9.796875" style="15" bestFit="1" customWidth="1"/>
    <col min="12319" max="12546" width="8.796875" style="15" customWidth="1"/>
    <col min="12547" max="12547" width="43.69921875" style="15" customWidth="1"/>
    <col min="12548" max="12548" width="10.5" style="15" customWidth="1"/>
    <col min="12549" max="12549" width="11.69921875" style="15" customWidth="1"/>
    <col min="12550" max="12550" width="11.796875" style="15" bestFit="1" customWidth="1"/>
    <col min="12551" max="12551" width="9.796875" style="15" customWidth="1"/>
    <col min="12552" max="12552" width="9" style="15" bestFit="1" customWidth="1"/>
    <col min="12553" max="12553" width="9" style="15" customWidth="1"/>
    <col min="12554" max="12555" width="12.5" style="15" customWidth="1"/>
    <col min="12556" max="12556" width="8.796875" style="15" customWidth="1"/>
    <col min="12557" max="12557" width="9" style="15" customWidth="1"/>
    <col min="12558" max="12559" width="9.796875" style="15" customWidth="1"/>
    <col min="12560" max="12560" width="7.19921875" style="15" customWidth="1"/>
    <col min="12561" max="12561" width="10.19921875" style="15" customWidth="1"/>
    <col min="12562" max="12562" width="8.296875" style="15" customWidth="1"/>
    <col min="12563" max="12563" width="9" style="15" customWidth="1"/>
    <col min="12564" max="12566" width="7.296875" style="15" customWidth="1"/>
    <col min="12567" max="12567" width="8.5" style="15" customWidth="1"/>
    <col min="12568" max="12568" width="7.296875" style="15" customWidth="1"/>
    <col min="12569" max="12569" width="8.69921875" style="15" customWidth="1"/>
    <col min="12570" max="12571" width="9" style="15" bestFit="1" customWidth="1"/>
    <col min="12572" max="12572" width="9.5" style="15" customWidth="1"/>
    <col min="12573" max="12573" width="9.5" style="15" bestFit="1" customWidth="1"/>
    <col min="12574" max="12574" width="9.796875" style="15" bestFit="1" customWidth="1"/>
    <col min="12575" max="12802" width="8.796875" style="15" customWidth="1"/>
    <col min="12803" max="12803" width="43.69921875" style="15" customWidth="1"/>
    <col min="12804" max="12804" width="10.5" style="15" customWidth="1"/>
    <col min="12805" max="12805" width="11.69921875" style="15" customWidth="1"/>
    <col min="12806" max="12806" width="11.796875" style="15" bestFit="1" customWidth="1"/>
    <col min="12807" max="12807" width="9.796875" style="15" customWidth="1"/>
    <col min="12808" max="12808" width="9" style="15" bestFit="1" customWidth="1"/>
    <col min="12809" max="12809" width="9" style="15" customWidth="1"/>
    <col min="12810" max="12811" width="12.5" style="15" customWidth="1"/>
    <col min="12812" max="12812" width="8.796875" style="15" customWidth="1"/>
    <col min="12813" max="12813" width="9" style="15" customWidth="1"/>
    <col min="12814" max="12815" width="9.796875" style="15" customWidth="1"/>
    <col min="12816" max="12816" width="7.19921875" style="15" customWidth="1"/>
    <col min="12817" max="12817" width="10.19921875" style="15" customWidth="1"/>
    <col min="12818" max="12818" width="8.296875" style="15" customWidth="1"/>
    <col min="12819" max="12819" width="9" style="15" customWidth="1"/>
    <col min="12820" max="12822" width="7.296875" style="15" customWidth="1"/>
    <col min="12823" max="12823" width="8.5" style="15" customWidth="1"/>
    <col min="12824" max="12824" width="7.296875" style="15" customWidth="1"/>
    <col min="12825" max="12825" width="8.69921875" style="15" customWidth="1"/>
    <col min="12826" max="12827" width="9" style="15" bestFit="1" customWidth="1"/>
    <col min="12828" max="12828" width="9.5" style="15" customWidth="1"/>
    <col min="12829" max="12829" width="9.5" style="15" bestFit="1" customWidth="1"/>
    <col min="12830" max="12830" width="9.796875" style="15" bestFit="1" customWidth="1"/>
    <col min="12831" max="13058" width="8.796875" style="15" customWidth="1"/>
    <col min="13059" max="13059" width="43.69921875" style="15" customWidth="1"/>
    <col min="13060" max="13060" width="10.5" style="15" customWidth="1"/>
    <col min="13061" max="13061" width="11.69921875" style="15" customWidth="1"/>
    <col min="13062" max="13062" width="11.796875" style="15" bestFit="1" customWidth="1"/>
    <col min="13063" max="13063" width="9.796875" style="15" customWidth="1"/>
    <col min="13064" max="13064" width="9" style="15" bestFit="1" customWidth="1"/>
    <col min="13065" max="13065" width="9" style="15" customWidth="1"/>
    <col min="13066" max="13067" width="12.5" style="15" customWidth="1"/>
    <col min="13068" max="13068" width="8.796875" style="15" customWidth="1"/>
    <col min="13069" max="13069" width="9" style="15" customWidth="1"/>
    <col min="13070" max="13071" width="9.796875" style="15" customWidth="1"/>
    <col min="13072" max="13072" width="7.19921875" style="15" customWidth="1"/>
    <col min="13073" max="13073" width="10.19921875" style="15" customWidth="1"/>
    <col min="13074" max="13074" width="8.296875" style="15" customWidth="1"/>
    <col min="13075" max="13075" width="9" style="15" customWidth="1"/>
    <col min="13076" max="13078" width="7.296875" style="15" customWidth="1"/>
    <col min="13079" max="13079" width="8.5" style="15" customWidth="1"/>
    <col min="13080" max="13080" width="7.296875" style="15" customWidth="1"/>
    <col min="13081" max="13081" width="8.69921875" style="15" customWidth="1"/>
    <col min="13082" max="13083" width="9" style="15" bestFit="1" customWidth="1"/>
    <col min="13084" max="13084" width="9.5" style="15" customWidth="1"/>
    <col min="13085" max="13085" width="9.5" style="15" bestFit="1" customWidth="1"/>
    <col min="13086" max="13086" width="9.796875" style="15" bestFit="1" customWidth="1"/>
    <col min="13087" max="13314" width="8.796875" style="15" customWidth="1"/>
    <col min="13315" max="13315" width="43.69921875" style="15" customWidth="1"/>
    <col min="13316" max="13316" width="10.5" style="15" customWidth="1"/>
    <col min="13317" max="13317" width="11.69921875" style="15" customWidth="1"/>
    <col min="13318" max="13318" width="11.796875" style="15" bestFit="1" customWidth="1"/>
    <col min="13319" max="13319" width="9.796875" style="15" customWidth="1"/>
    <col min="13320" max="13320" width="9" style="15" bestFit="1" customWidth="1"/>
    <col min="13321" max="13321" width="9" style="15" customWidth="1"/>
    <col min="13322" max="13323" width="12.5" style="15" customWidth="1"/>
    <col min="13324" max="13324" width="8.796875" style="15" customWidth="1"/>
    <col min="13325" max="13325" width="9" style="15" customWidth="1"/>
    <col min="13326" max="13327" width="9.796875" style="15" customWidth="1"/>
    <col min="13328" max="13328" width="7.19921875" style="15" customWidth="1"/>
    <col min="13329" max="13329" width="10.19921875" style="15" customWidth="1"/>
    <col min="13330" max="13330" width="8.296875" style="15" customWidth="1"/>
    <col min="13331" max="13331" width="9" style="15" customWidth="1"/>
    <col min="13332" max="13334" width="7.296875" style="15" customWidth="1"/>
    <col min="13335" max="13335" width="8.5" style="15" customWidth="1"/>
    <col min="13336" max="13336" width="7.296875" style="15" customWidth="1"/>
    <col min="13337" max="13337" width="8.69921875" style="15" customWidth="1"/>
    <col min="13338" max="13339" width="9" style="15" bestFit="1" customWidth="1"/>
    <col min="13340" max="13340" width="9.5" style="15" customWidth="1"/>
    <col min="13341" max="13341" width="9.5" style="15" bestFit="1" customWidth="1"/>
    <col min="13342" max="13342" width="9.796875" style="15" bestFit="1" customWidth="1"/>
    <col min="13343" max="13570" width="8.796875" style="15" customWidth="1"/>
    <col min="13571" max="13571" width="43.69921875" style="15" customWidth="1"/>
    <col min="13572" max="13572" width="10.5" style="15" customWidth="1"/>
    <col min="13573" max="13573" width="11.69921875" style="15" customWidth="1"/>
    <col min="13574" max="13574" width="11.796875" style="15" bestFit="1" customWidth="1"/>
    <col min="13575" max="13575" width="9.796875" style="15" customWidth="1"/>
    <col min="13576" max="13576" width="9" style="15" bestFit="1" customWidth="1"/>
    <col min="13577" max="13577" width="9" style="15" customWidth="1"/>
    <col min="13578" max="13579" width="12.5" style="15" customWidth="1"/>
    <col min="13580" max="13580" width="8.796875" style="15" customWidth="1"/>
    <col min="13581" max="13581" width="9" style="15" customWidth="1"/>
    <col min="13582" max="13583" width="9.796875" style="15" customWidth="1"/>
    <col min="13584" max="13584" width="7.19921875" style="15" customWidth="1"/>
    <col min="13585" max="13585" width="10.19921875" style="15" customWidth="1"/>
    <col min="13586" max="13586" width="8.296875" style="15" customWidth="1"/>
    <col min="13587" max="13587" width="9" style="15" customWidth="1"/>
    <col min="13588" max="13590" width="7.296875" style="15" customWidth="1"/>
    <col min="13591" max="13591" width="8.5" style="15" customWidth="1"/>
    <col min="13592" max="13592" width="7.296875" style="15" customWidth="1"/>
    <col min="13593" max="13593" width="8.69921875" style="15" customWidth="1"/>
    <col min="13594" max="13595" width="9" style="15" bestFit="1" customWidth="1"/>
    <col min="13596" max="13596" width="9.5" style="15" customWidth="1"/>
    <col min="13597" max="13597" width="9.5" style="15" bestFit="1" customWidth="1"/>
    <col min="13598" max="13598" width="9.796875" style="15" bestFit="1" customWidth="1"/>
    <col min="13599" max="13826" width="8.796875" style="15" customWidth="1"/>
    <col min="13827" max="13827" width="43.69921875" style="15" customWidth="1"/>
    <col min="13828" max="13828" width="10.5" style="15" customWidth="1"/>
    <col min="13829" max="13829" width="11.69921875" style="15" customWidth="1"/>
    <col min="13830" max="13830" width="11.796875" style="15" bestFit="1" customWidth="1"/>
    <col min="13831" max="13831" width="9.796875" style="15" customWidth="1"/>
    <col min="13832" max="13832" width="9" style="15" bestFit="1" customWidth="1"/>
    <col min="13833" max="13833" width="9" style="15" customWidth="1"/>
    <col min="13834" max="13835" width="12.5" style="15" customWidth="1"/>
    <col min="13836" max="13836" width="8.796875" style="15" customWidth="1"/>
    <col min="13837" max="13837" width="9" style="15" customWidth="1"/>
    <col min="13838" max="13839" width="9.796875" style="15" customWidth="1"/>
    <col min="13840" max="13840" width="7.19921875" style="15" customWidth="1"/>
    <col min="13841" max="13841" width="10.19921875" style="15" customWidth="1"/>
    <col min="13842" max="13842" width="8.296875" style="15" customWidth="1"/>
    <col min="13843" max="13843" width="9" style="15" customWidth="1"/>
    <col min="13844" max="13846" width="7.296875" style="15" customWidth="1"/>
    <col min="13847" max="13847" width="8.5" style="15" customWidth="1"/>
    <col min="13848" max="13848" width="7.296875" style="15" customWidth="1"/>
    <col min="13849" max="13849" width="8.69921875" style="15" customWidth="1"/>
    <col min="13850" max="13851" width="9" style="15" bestFit="1" customWidth="1"/>
    <col min="13852" max="13852" width="9.5" style="15" customWidth="1"/>
    <col min="13853" max="13853" width="9.5" style="15" bestFit="1" customWidth="1"/>
    <col min="13854" max="13854" width="9.796875" style="15" bestFit="1" customWidth="1"/>
    <col min="13855" max="14082" width="8.796875" style="15" customWidth="1"/>
    <col min="14083" max="14083" width="43.69921875" style="15" customWidth="1"/>
    <col min="14084" max="14084" width="10.5" style="15" customWidth="1"/>
    <col min="14085" max="14085" width="11.69921875" style="15" customWidth="1"/>
    <col min="14086" max="14086" width="11.796875" style="15" bestFit="1" customWidth="1"/>
    <col min="14087" max="14087" width="9.796875" style="15" customWidth="1"/>
    <col min="14088" max="14088" width="9" style="15" bestFit="1" customWidth="1"/>
    <col min="14089" max="14089" width="9" style="15" customWidth="1"/>
    <col min="14090" max="14091" width="12.5" style="15" customWidth="1"/>
    <col min="14092" max="14092" width="8.796875" style="15" customWidth="1"/>
    <col min="14093" max="14093" width="9" style="15" customWidth="1"/>
    <col min="14094" max="14095" width="9.796875" style="15" customWidth="1"/>
    <col min="14096" max="14096" width="7.19921875" style="15" customWidth="1"/>
    <col min="14097" max="14097" width="10.19921875" style="15" customWidth="1"/>
    <col min="14098" max="14098" width="8.296875" style="15" customWidth="1"/>
    <col min="14099" max="14099" width="9" style="15" customWidth="1"/>
    <col min="14100" max="14102" width="7.296875" style="15" customWidth="1"/>
    <col min="14103" max="14103" width="8.5" style="15" customWidth="1"/>
    <col min="14104" max="14104" width="7.296875" style="15" customWidth="1"/>
    <col min="14105" max="14105" width="8.69921875" style="15" customWidth="1"/>
    <col min="14106" max="14107" width="9" style="15" bestFit="1" customWidth="1"/>
    <col min="14108" max="14108" width="9.5" style="15" customWidth="1"/>
    <col min="14109" max="14109" width="9.5" style="15" bestFit="1" customWidth="1"/>
    <col min="14110" max="14110" width="9.796875" style="15" bestFit="1" customWidth="1"/>
    <col min="14111" max="14338" width="8.796875" style="15" customWidth="1"/>
    <col min="14339" max="14339" width="43.69921875" style="15" customWidth="1"/>
    <col min="14340" max="14340" width="10.5" style="15" customWidth="1"/>
    <col min="14341" max="14341" width="11.69921875" style="15" customWidth="1"/>
    <col min="14342" max="14342" width="11.796875" style="15" bestFit="1" customWidth="1"/>
    <col min="14343" max="14343" width="9.796875" style="15" customWidth="1"/>
    <col min="14344" max="14344" width="9" style="15" bestFit="1" customWidth="1"/>
    <col min="14345" max="14345" width="9" style="15" customWidth="1"/>
    <col min="14346" max="14347" width="12.5" style="15" customWidth="1"/>
    <col min="14348" max="14348" width="8.796875" style="15" customWidth="1"/>
    <col min="14349" max="14349" width="9" style="15" customWidth="1"/>
    <col min="14350" max="14351" width="9.796875" style="15" customWidth="1"/>
    <col min="14352" max="14352" width="7.19921875" style="15" customWidth="1"/>
    <col min="14353" max="14353" width="10.19921875" style="15" customWidth="1"/>
    <col min="14354" max="14354" width="8.296875" style="15" customWidth="1"/>
    <col min="14355" max="14355" width="9" style="15" customWidth="1"/>
    <col min="14356" max="14358" width="7.296875" style="15" customWidth="1"/>
    <col min="14359" max="14359" width="8.5" style="15" customWidth="1"/>
    <col min="14360" max="14360" width="7.296875" style="15" customWidth="1"/>
    <col min="14361" max="14361" width="8.69921875" style="15" customWidth="1"/>
    <col min="14362" max="14363" width="9" style="15" bestFit="1" customWidth="1"/>
    <col min="14364" max="14364" width="9.5" style="15" customWidth="1"/>
    <col min="14365" max="14365" width="9.5" style="15" bestFit="1" customWidth="1"/>
    <col min="14366" max="14366" width="9.796875" style="15" bestFit="1" customWidth="1"/>
    <col min="14367" max="14594" width="8.796875" style="15" customWidth="1"/>
    <col min="14595" max="14595" width="43.69921875" style="15" customWidth="1"/>
    <col min="14596" max="14596" width="10.5" style="15" customWidth="1"/>
    <col min="14597" max="14597" width="11.69921875" style="15" customWidth="1"/>
    <col min="14598" max="14598" width="11.796875" style="15" bestFit="1" customWidth="1"/>
    <col min="14599" max="14599" width="9.796875" style="15" customWidth="1"/>
    <col min="14600" max="14600" width="9" style="15" bestFit="1" customWidth="1"/>
    <col min="14601" max="14601" width="9" style="15" customWidth="1"/>
    <col min="14602" max="14603" width="12.5" style="15" customWidth="1"/>
    <col min="14604" max="14604" width="8.796875" style="15" customWidth="1"/>
    <col min="14605" max="14605" width="9" style="15" customWidth="1"/>
    <col min="14606" max="14607" width="9.796875" style="15" customWidth="1"/>
    <col min="14608" max="14608" width="7.19921875" style="15" customWidth="1"/>
    <col min="14609" max="14609" width="10.19921875" style="15" customWidth="1"/>
    <col min="14610" max="14610" width="8.296875" style="15" customWidth="1"/>
    <col min="14611" max="14611" width="9" style="15" customWidth="1"/>
    <col min="14612" max="14614" width="7.296875" style="15" customWidth="1"/>
    <col min="14615" max="14615" width="8.5" style="15" customWidth="1"/>
    <col min="14616" max="14616" width="7.296875" style="15" customWidth="1"/>
    <col min="14617" max="14617" width="8.69921875" style="15" customWidth="1"/>
    <col min="14618" max="14619" width="9" style="15" bestFit="1" customWidth="1"/>
    <col min="14620" max="14620" width="9.5" style="15" customWidth="1"/>
    <col min="14621" max="14621" width="9.5" style="15" bestFit="1" customWidth="1"/>
    <col min="14622" max="14622" width="9.796875" style="15" bestFit="1" customWidth="1"/>
    <col min="14623" max="14850" width="8.796875" style="15" customWidth="1"/>
    <col min="14851" max="14851" width="43.69921875" style="15" customWidth="1"/>
    <col min="14852" max="14852" width="10.5" style="15" customWidth="1"/>
    <col min="14853" max="14853" width="11.69921875" style="15" customWidth="1"/>
    <col min="14854" max="14854" width="11.796875" style="15" bestFit="1" customWidth="1"/>
    <col min="14855" max="14855" width="9.796875" style="15" customWidth="1"/>
    <col min="14856" max="14856" width="9" style="15" bestFit="1" customWidth="1"/>
    <col min="14857" max="14857" width="9" style="15" customWidth="1"/>
    <col min="14858" max="14859" width="12.5" style="15" customWidth="1"/>
    <col min="14860" max="14860" width="8.796875" style="15" customWidth="1"/>
    <col min="14861" max="14861" width="9" style="15" customWidth="1"/>
    <col min="14862" max="14863" width="9.796875" style="15" customWidth="1"/>
    <col min="14864" max="14864" width="7.19921875" style="15" customWidth="1"/>
    <col min="14865" max="14865" width="10.19921875" style="15" customWidth="1"/>
    <col min="14866" max="14866" width="8.296875" style="15" customWidth="1"/>
    <col min="14867" max="14867" width="9" style="15" customWidth="1"/>
    <col min="14868" max="14870" width="7.296875" style="15" customWidth="1"/>
    <col min="14871" max="14871" width="8.5" style="15" customWidth="1"/>
    <col min="14872" max="14872" width="7.296875" style="15" customWidth="1"/>
    <col min="14873" max="14873" width="8.69921875" style="15" customWidth="1"/>
    <col min="14874" max="14875" width="9" style="15" bestFit="1" customWidth="1"/>
    <col min="14876" max="14876" width="9.5" style="15" customWidth="1"/>
    <col min="14877" max="14877" width="9.5" style="15" bestFit="1" customWidth="1"/>
    <col min="14878" max="14878" width="9.796875" style="15" bestFit="1" customWidth="1"/>
    <col min="14879" max="15106" width="8.796875" style="15" customWidth="1"/>
    <col min="15107" max="15107" width="43.69921875" style="15" customWidth="1"/>
    <col min="15108" max="15108" width="10.5" style="15" customWidth="1"/>
    <col min="15109" max="15109" width="11.69921875" style="15" customWidth="1"/>
    <col min="15110" max="15110" width="11.796875" style="15" bestFit="1" customWidth="1"/>
    <col min="15111" max="15111" width="9.796875" style="15" customWidth="1"/>
    <col min="15112" max="15112" width="9" style="15" bestFit="1" customWidth="1"/>
    <col min="15113" max="15113" width="9" style="15" customWidth="1"/>
    <col min="15114" max="15115" width="12.5" style="15" customWidth="1"/>
    <col min="15116" max="15116" width="8.796875" style="15" customWidth="1"/>
    <col min="15117" max="15117" width="9" style="15" customWidth="1"/>
    <col min="15118" max="15119" width="9.796875" style="15" customWidth="1"/>
    <col min="15120" max="15120" width="7.19921875" style="15" customWidth="1"/>
    <col min="15121" max="15121" width="10.19921875" style="15" customWidth="1"/>
    <col min="15122" max="15122" width="8.296875" style="15" customWidth="1"/>
    <col min="15123" max="15123" width="9" style="15" customWidth="1"/>
    <col min="15124" max="15126" width="7.296875" style="15" customWidth="1"/>
    <col min="15127" max="15127" width="8.5" style="15" customWidth="1"/>
    <col min="15128" max="15128" width="7.296875" style="15" customWidth="1"/>
    <col min="15129" max="15129" width="8.69921875" style="15" customWidth="1"/>
    <col min="15130" max="15131" width="9" style="15" bestFit="1" customWidth="1"/>
    <col min="15132" max="15132" width="9.5" style="15" customWidth="1"/>
    <col min="15133" max="15133" width="9.5" style="15" bestFit="1" customWidth="1"/>
    <col min="15134" max="15134" width="9.796875" style="15" bestFit="1" customWidth="1"/>
    <col min="15135" max="15362" width="8.796875" style="15" customWidth="1"/>
    <col min="15363" max="15363" width="43.69921875" style="15" customWidth="1"/>
    <col min="15364" max="15364" width="10.5" style="15" customWidth="1"/>
    <col min="15365" max="15365" width="11.69921875" style="15" customWidth="1"/>
    <col min="15366" max="15366" width="11.796875" style="15" bestFit="1" customWidth="1"/>
    <col min="15367" max="15367" width="9.796875" style="15" customWidth="1"/>
    <col min="15368" max="15368" width="9" style="15" bestFit="1" customWidth="1"/>
    <col min="15369" max="15369" width="9" style="15" customWidth="1"/>
    <col min="15370" max="15371" width="12.5" style="15" customWidth="1"/>
    <col min="15372" max="15372" width="8.796875" style="15" customWidth="1"/>
    <col min="15373" max="15373" width="9" style="15" customWidth="1"/>
    <col min="15374" max="15375" width="9.796875" style="15" customWidth="1"/>
    <col min="15376" max="15376" width="7.19921875" style="15" customWidth="1"/>
    <col min="15377" max="15377" width="10.19921875" style="15" customWidth="1"/>
    <col min="15378" max="15378" width="8.296875" style="15" customWidth="1"/>
    <col min="15379" max="15379" width="9" style="15" customWidth="1"/>
    <col min="15380" max="15382" width="7.296875" style="15" customWidth="1"/>
    <col min="15383" max="15383" width="8.5" style="15" customWidth="1"/>
    <col min="15384" max="15384" width="7.296875" style="15" customWidth="1"/>
    <col min="15385" max="15385" width="8.69921875" style="15" customWidth="1"/>
    <col min="15386" max="15387" width="9" style="15" bestFit="1" customWidth="1"/>
    <col min="15388" max="15388" width="9.5" style="15" customWidth="1"/>
    <col min="15389" max="15389" width="9.5" style="15" bestFit="1" customWidth="1"/>
    <col min="15390" max="15390" width="9.796875" style="15" bestFit="1" customWidth="1"/>
    <col min="15391" max="15618" width="8.796875" style="15" customWidth="1"/>
    <col min="15619" max="15619" width="43.69921875" style="15" customWidth="1"/>
    <col min="15620" max="15620" width="10.5" style="15" customWidth="1"/>
    <col min="15621" max="15621" width="11.69921875" style="15" customWidth="1"/>
    <col min="15622" max="15622" width="11.796875" style="15" bestFit="1" customWidth="1"/>
    <col min="15623" max="15623" width="9.796875" style="15" customWidth="1"/>
    <col min="15624" max="15624" width="9" style="15" bestFit="1" customWidth="1"/>
    <col min="15625" max="15625" width="9" style="15" customWidth="1"/>
    <col min="15626" max="15627" width="12.5" style="15" customWidth="1"/>
    <col min="15628" max="15628" width="8.796875" style="15" customWidth="1"/>
    <col min="15629" max="15629" width="9" style="15" customWidth="1"/>
    <col min="15630" max="15631" width="9.796875" style="15" customWidth="1"/>
    <col min="15632" max="15632" width="7.19921875" style="15" customWidth="1"/>
    <col min="15633" max="15633" width="10.19921875" style="15" customWidth="1"/>
    <col min="15634" max="15634" width="8.296875" style="15" customWidth="1"/>
    <col min="15635" max="15635" width="9" style="15" customWidth="1"/>
    <col min="15636" max="15638" width="7.296875" style="15" customWidth="1"/>
    <col min="15639" max="15639" width="8.5" style="15" customWidth="1"/>
    <col min="15640" max="15640" width="7.296875" style="15" customWidth="1"/>
    <col min="15641" max="15641" width="8.69921875" style="15" customWidth="1"/>
    <col min="15642" max="15643" width="9" style="15" bestFit="1" customWidth="1"/>
    <col min="15644" max="15644" width="9.5" style="15" customWidth="1"/>
    <col min="15645" max="15645" width="9.5" style="15" bestFit="1" customWidth="1"/>
    <col min="15646" max="15646" width="9.796875" style="15" bestFit="1" customWidth="1"/>
    <col min="15647" max="15874" width="8.796875" style="15" customWidth="1"/>
    <col min="15875" max="15875" width="43.69921875" style="15" customWidth="1"/>
    <col min="15876" max="15876" width="10.5" style="15" customWidth="1"/>
    <col min="15877" max="15877" width="11.69921875" style="15" customWidth="1"/>
    <col min="15878" max="15878" width="11.796875" style="15" bestFit="1" customWidth="1"/>
    <col min="15879" max="15879" width="9.796875" style="15" customWidth="1"/>
    <col min="15880" max="15880" width="9" style="15" bestFit="1" customWidth="1"/>
    <col min="15881" max="15881" width="9" style="15" customWidth="1"/>
    <col min="15882" max="15883" width="12.5" style="15" customWidth="1"/>
    <col min="15884" max="15884" width="8.796875" style="15" customWidth="1"/>
    <col min="15885" max="15885" width="9" style="15" customWidth="1"/>
    <col min="15886" max="15887" width="9.796875" style="15" customWidth="1"/>
    <col min="15888" max="15888" width="7.19921875" style="15" customWidth="1"/>
    <col min="15889" max="15889" width="10.19921875" style="15" customWidth="1"/>
    <col min="15890" max="15890" width="8.296875" style="15" customWidth="1"/>
    <col min="15891" max="15891" width="9" style="15" customWidth="1"/>
    <col min="15892" max="15894" width="7.296875" style="15" customWidth="1"/>
    <col min="15895" max="15895" width="8.5" style="15" customWidth="1"/>
    <col min="15896" max="15896" width="7.296875" style="15" customWidth="1"/>
    <col min="15897" max="15897" width="8.69921875" style="15" customWidth="1"/>
    <col min="15898" max="15899" width="9" style="15" bestFit="1" customWidth="1"/>
    <col min="15900" max="15900" width="9.5" style="15" customWidth="1"/>
    <col min="15901" max="15901" width="9.5" style="15" bestFit="1" customWidth="1"/>
    <col min="15902" max="15902" width="9.796875" style="15" bestFit="1" customWidth="1"/>
    <col min="15903" max="16130" width="8.796875" style="15" customWidth="1"/>
    <col min="16131" max="16131" width="43.69921875" style="15" customWidth="1"/>
    <col min="16132" max="16132" width="10.5" style="15" customWidth="1"/>
    <col min="16133" max="16133" width="11.69921875" style="15" customWidth="1"/>
    <col min="16134" max="16134" width="11.796875" style="15" bestFit="1" customWidth="1"/>
    <col min="16135" max="16135" width="9.796875" style="15" customWidth="1"/>
    <col min="16136" max="16136" width="9" style="15" bestFit="1" customWidth="1"/>
    <col min="16137" max="16137" width="9" style="15" customWidth="1"/>
    <col min="16138" max="16139" width="12.5" style="15" customWidth="1"/>
    <col min="16140" max="16140" width="8.796875" style="15" customWidth="1"/>
    <col min="16141" max="16141" width="9" style="15" customWidth="1"/>
    <col min="16142" max="16143" width="9.796875" style="15" customWidth="1"/>
    <col min="16144" max="16144" width="7.19921875" style="15" customWidth="1"/>
    <col min="16145" max="16145" width="10.19921875" style="15" customWidth="1"/>
    <col min="16146" max="16146" width="8.296875" style="15" customWidth="1"/>
    <col min="16147" max="16147" width="9" style="15" customWidth="1"/>
    <col min="16148" max="16150" width="7.296875" style="15" customWidth="1"/>
    <col min="16151" max="16151" width="8.5" style="15" customWidth="1"/>
    <col min="16152" max="16152" width="7.296875" style="15" customWidth="1"/>
    <col min="16153" max="16153" width="8.69921875" style="15" customWidth="1"/>
    <col min="16154" max="16155" width="9" style="15" bestFit="1" customWidth="1"/>
    <col min="16156" max="16156" width="9.5" style="15" customWidth="1"/>
    <col min="16157" max="16157" width="9.5" style="15" bestFit="1" customWidth="1"/>
    <col min="16158" max="16158" width="9.796875" style="15" bestFit="1" customWidth="1"/>
    <col min="16159" max="16384" width="8.796875" style="15" customWidth="1"/>
  </cols>
  <sheetData>
    <row r="1" spans="1:29" ht="15.6" x14ac:dyDescent="0.3">
      <c r="A1" s="165" t="s">
        <v>42</v>
      </c>
      <c r="B1" s="11"/>
      <c r="C1" s="12"/>
      <c r="D1" s="12"/>
      <c r="E1" s="13"/>
      <c r="F1" s="13"/>
      <c r="G1" s="13"/>
      <c r="H1" s="13"/>
      <c r="I1" s="13"/>
      <c r="J1" s="13"/>
      <c r="K1" s="13"/>
      <c r="L1" s="13"/>
      <c r="M1" s="13"/>
      <c r="N1" s="13"/>
      <c r="O1" s="13"/>
      <c r="P1" s="13"/>
      <c r="Q1" s="13"/>
      <c r="R1" s="13"/>
      <c r="S1" s="13"/>
      <c r="T1" s="13"/>
      <c r="U1" s="13"/>
      <c r="V1" s="13"/>
      <c r="W1" s="13"/>
      <c r="X1" s="13"/>
      <c r="Y1" s="13"/>
      <c r="Z1" s="14"/>
      <c r="AA1" s="14"/>
      <c r="AB1" s="14"/>
      <c r="AC1" s="14"/>
    </row>
    <row r="2" spans="1:29" ht="15.6" x14ac:dyDescent="0.3">
      <c r="A2" s="165"/>
      <c r="B2" s="11"/>
      <c r="C2" s="12"/>
      <c r="D2" s="12"/>
      <c r="E2" s="13"/>
      <c r="F2" s="13"/>
      <c r="G2" s="13"/>
      <c r="H2" s="13"/>
      <c r="I2" s="13"/>
      <c r="J2" s="13"/>
      <c r="K2" s="13"/>
      <c r="L2" s="13"/>
      <c r="M2" s="13"/>
      <c r="N2" s="13"/>
      <c r="O2" s="13"/>
      <c r="P2" s="13"/>
      <c r="Q2" s="13"/>
      <c r="R2" s="13"/>
      <c r="S2" s="13"/>
      <c r="T2" s="13"/>
      <c r="U2" s="13"/>
      <c r="V2" s="13"/>
      <c r="W2" s="13"/>
      <c r="X2" s="13"/>
      <c r="Y2" s="13"/>
      <c r="Z2" s="14"/>
      <c r="AA2" s="14"/>
      <c r="AB2" s="14"/>
      <c r="AC2" s="14"/>
    </row>
    <row r="3" spans="1:29" ht="27.6" x14ac:dyDescent="0.3">
      <c r="A3" s="166" t="s">
        <v>43</v>
      </c>
      <c r="B3" s="16" t="s">
        <v>44</v>
      </c>
      <c r="C3" s="16" t="s">
        <v>45</v>
      </c>
      <c r="D3" s="16" t="s">
        <v>46</v>
      </c>
      <c r="E3" s="17" t="s">
        <v>47</v>
      </c>
      <c r="F3" s="18" t="s">
        <v>48</v>
      </c>
      <c r="G3" s="18" t="s">
        <v>49</v>
      </c>
      <c r="H3" s="16" t="s">
        <v>50</v>
      </c>
      <c r="I3" s="16" t="s">
        <v>51</v>
      </c>
      <c r="J3" s="19" t="s">
        <v>12</v>
      </c>
      <c r="K3" s="16" t="s">
        <v>52</v>
      </c>
      <c r="L3" s="16" t="s">
        <v>14</v>
      </c>
      <c r="M3" s="16" t="s">
        <v>53</v>
      </c>
      <c r="N3" s="16" t="s">
        <v>54</v>
      </c>
      <c r="O3" s="16" t="s">
        <v>55</v>
      </c>
      <c r="P3" s="16" t="s">
        <v>56</v>
      </c>
      <c r="Q3" s="16" t="s">
        <v>20</v>
      </c>
      <c r="R3" s="16" t="s">
        <v>57</v>
      </c>
      <c r="S3" s="20" t="s">
        <v>58</v>
      </c>
      <c r="T3" s="16" t="s">
        <v>59</v>
      </c>
      <c r="U3" s="20" t="s">
        <v>60</v>
      </c>
      <c r="V3" s="20" t="s">
        <v>61</v>
      </c>
      <c r="W3" s="20" t="s">
        <v>62</v>
      </c>
      <c r="X3" s="20" t="s">
        <v>63</v>
      </c>
      <c r="Y3" s="19" t="s">
        <v>64</v>
      </c>
      <c r="Z3" s="16" t="s">
        <v>65</v>
      </c>
      <c r="AA3" s="19" t="s">
        <v>66</v>
      </c>
      <c r="AB3" s="21" t="s">
        <v>67</v>
      </c>
      <c r="AC3" s="21" t="s">
        <v>28</v>
      </c>
    </row>
    <row r="4" spans="1:29" s="31" customFormat="1" ht="15.6" x14ac:dyDescent="0.3">
      <c r="A4" s="167" t="s">
        <v>68</v>
      </c>
      <c r="B4" s="22"/>
      <c r="C4" s="22" t="s">
        <v>69</v>
      </c>
      <c r="D4" s="23"/>
      <c r="E4" s="24">
        <v>0</v>
      </c>
      <c r="F4" s="25"/>
      <c r="G4" s="26"/>
      <c r="H4" s="27"/>
      <c r="I4" s="27"/>
      <c r="J4" s="27"/>
      <c r="K4" s="27"/>
      <c r="L4" s="27"/>
      <c r="M4" s="27"/>
      <c r="N4" s="27"/>
      <c r="O4" s="27"/>
      <c r="P4" s="27"/>
      <c r="Q4" s="27"/>
      <c r="R4" s="27"/>
      <c r="S4" s="27"/>
      <c r="T4" s="27"/>
      <c r="U4" s="27"/>
      <c r="V4" s="27"/>
      <c r="W4" s="27"/>
      <c r="X4" s="27"/>
      <c r="Y4" s="27"/>
      <c r="Z4" s="28"/>
      <c r="AA4" s="29"/>
      <c r="AB4" s="29"/>
      <c r="AC4" s="30"/>
    </row>
    <row r="5" spans="1:29" s="31" customFormat="1" ht="15.6" x14ac:dyDescent="0.3">
      <c r="A5" s="167"/>
      <c r="B5" s="22"/>
      <c r="C5" s="22" t="s">
        <v>70</v>
      </c>
      <c r="D5" s="32"/>
      <c r="E5" s="24">
        <v>13460</v>
      </c>
      <c r="F5" s="25"/>
      <c r="G5" s="26"/>
      <c r="H5" s="27"/>
      <c r="I5" s="27"/>
      <c r="J5" s="27"/>
      <c r="K5" s="27"/>
      <c r="L5" s="27"/>
      <c r="M5" s="27"/>
      <c r="N5" s="27"/>
      <c r="O5" s="27"/>
      <c r="P5" s="27"/>
      <c r="Q5" s="27"/>
      <c r="R5" s="27"/>
      <c r="S5" s="27"/>
      <c r="T5" s="27"/>
      <c r="U5" s="27"/>
      <c r="V5" s="27"/>
      <c r="W5" s="27"/>
      <c r="X5" s="27"/>
      <c r="Y5" s="33"/>
      <c r="Z5" s="28"/>
      <c r="AA5" s="29"/>
      <c r="AB5" s="29"/>
      <c r="AC5" s="30"/>
    </row>
    <row r="6" spans="1:29" s="31" customFormat="1" ht="15.6" x14ac:dyDescent="0.3">
      <c r="A6" s="167">
        <v>45755</v>
      </c>
      <c r="B6" s="22" t="s">
        <v>71</v>
      </c>
      <c r="C6" s="22" t="s">
        <v>72</v>
      </c>
      <c r="D6" s="34" t="s">
        <v>73</v>
      </c>
      <c r="E6" s="35">
        <v>47</v>
      </c>
      <c r="F6" s="25"/>
      <c r="G6" s="26"/>
      <c r="H6" s="27"/>
      <c r="I6" s="27"/>
      <c r="J6" s="27"/>
      <c r="K6" s="27"/>
      <c r="L6" s="27"/>
      <c r="M6" s="27"/>
      <c r="N6" s="27"/>
      <c r="O6" s="27"/>
      <c r="P6" s="27"/>
      <c r="Q6" s="27"/>
      <c r="R6" s="27"/>
      <c r="S6" s="27"/>
      <c r="T6" s="27"/>
      <c r="U6" s="27"/>
      <c r="V6" s="27"/>
      <c r="W6" s="27"/>
      <c r="X6" s="27"/>
      <c r="Y6" s="27"/>
      <c r="Z6" s="28"/>
      <c r="AA6" s="29"/>
      <c r="AB6" s="29"/>
      <c r="AC6" s="30"/>
    </row>
    <row r="7" spans="1:29" s="31" customFormat="1" ht="15.6" x14ac:dyDescent="0.3">
      <c r="A7" s="167">
        <v>45769</v>
      </c>
      <c r="B7" s="22"/>
      <c r="C7" s="22" t="s">
        <v>74</v>
      </c>
      <c r="D7" s="34" t="s">
        <v>75</v>
      </c>
      <c r="E7" s="35">
        <v>4.25</v>
      </c>
      <c r="F7" s="25"/>
      <c r="G7" s="26"/>
      <c r="H7" s="27"/>
      <c r="I7" s="27"/>
      <c r="J7" s="27"/>
      <c r="K7" s="27"/>
      <c r="L7" s="27"/>
      <c r="M7" s="27"/>
      <c r="N7" s="27"/>
      <c r="O7" s="27"/>
      <c r="P7" s="27"/>
      <c r="Q7" s="27"/>
      <c r="R7" s="27"/>
      <c r="S7" s="27"/>
      <c r="T7" s="27"/>
      <c r="U7" s="27"/>
      <c r="V7" s="27"/>
      <c r="W7" s="27"/>
      <c r="X7" s="27"/>
      <c r="Y7" s="27"/>
      <c r="Z7" s="28"/>
      <c r="AA7" s="29"/>
      <c r="AB7" s="29"/>
      <c r="AC7" s="30"/>
    </row>
    <row r="8" spans="1:29" s="31" customFormat="1" ht="15.6" x14ac:dyDescent="0.3">
      <c r="A8" s="167">
        <v>45769</v>
      </c>
      <c r="B8" s="22"/>
      <c r="C8" s="22" t="s">
        <v>76</v>
      </c>
      <c r="D8" s="34" t="s">
        <v>77</v>
      </c>
      <c r="E8" s="35">
        <v>599.72</v>
      </c>
      <c r="F8" s="25"/>
      <c r="G8" s="26"/>
      <c r="H8" s="27"/>
      <c r="I8" s="27"/>
      <c r="J8" s="27"/>
      <c r="K8" s="27"/>
      <c r="L8" s="27"/>
      <c r="M8" s="27"/>
      <c r="N8" s="27"/>
      <c r="O8" s="27"/>
      <c r="P8" s="27"/>
      <c r="Q8" s="27"/>
      <c r="R8" s="27"/>
      <c r="S8" s="27"/>
      <c r="T8" s="27"/>
      <c r="U8" s="27"/>
      <c r="V8" s="27"/>
      <c r="W8" s="27"/>
      <c r="X8" s="27"/>
      <c r="Y8" s="27"/>
      <c r="Z8" s="28"/>
      <c r="AA8" s="29"/>
      <c r="AB8" s="29"/>
      <c r="AC8" s="30"/>
    </row>
    <row r="9" spans="1:29" s="31" customFormat="1" ht="15.6" x14ac:dyDescent="0.3">
      <c r="A9" s="167">
        <v>45783</v>
      </c>
      <c r="B9" s="22"/>
      <c r="C9" s="36" t="s">
        <v>79</v>
      </c>
      <c r="D9" s="34" t="s">
        <v>77</v>
      </c>
      <c r="E9" s="35">
        <v>90</v>
      </c>
      <c r="F9" s="25"/>
      <c r="G9" s="26"/>
      <c r="H9" s="27"/>
      <c r="I9" s="27"/>
      <c r="J9" s="27"/>
      <c r="K9" s="27"/>
      <c r="L9" s="27"/>
      <c r="M9" s="27"/>
      <c r="N9" s="27"/>
      <c r="O9" s="27"/>
      <c r="P9" s="27"/>
      <c r="Q9" s="27"/>
      <c r="R9" s="27"/>
      <c r="S9" s="27"/>
      <c r="T9" s="27"/>
      <c r="U9" s="27"/>
      <c r="V9" s="27"/>
      <c r="W9" s="27"/>
      <c r="X9" s="27"/>
      <c r="Y9" s="27"/>
      <c r="Z9" s="28"/>
      <c r="AA9" s="29"/>
      <c r="AB9" s="29"/>
      <c r="AC9" s="30"/>
    </row>
    <row r="10" spans="1:29" s="31" customFormat="1" ht="15.6" x14ac:dyDescent="0.3">
      <c r="A10" s="167">
        <v>45796</v>
      </c>
      <c r="B10" s="22"/>
      <c r="C10" s="22" t="s">
        <v>74</v>
      </c>
      <c r="D10" s="34" t="s">
        <v>75</v>
      </c>
      <c r="E10" s="35">
        <v>4.25</v>
      </c>
      <c r="F10" s="25"/>
      <c r="G10" s="26"/>
      <c r="H10" s="27"/>
      <c r="I10" s="27"/>
      <c r="J10" s="27"/>
      <c r="K10" s="27"/>
      <c r="L10" s="27"/>
      <c r="M10" s="27"/>
      <c r="N10" s="27"/>
      <c r="O10" s="27"/>
      <c r="P10" s="27"/>
      <c r="Q10" s="27"/>
      <c r="R10" s="27"/>
      <c r="S10" s="27"/>
      <c r="T10" s="27"/>
      <c r="U10" s="27"/>
      <c r="V10" s="27"/>
      <c r="W10" s="27"/>
      <c r="X10" s="27"/>
      <c r="Y10" s="27"/>
      <c r="Z10" s="28"/>
      <c r="AA10" s="29"/>
      <c r="AB10" s="29"/>
      <c r="AC10" s="30"/>
    </row>
    <row r="11" spans="1:29" s="31" customFormat="1" ht="15.6" x14ac:dyDescent="0.3">
      <c r="A11" s="167">
        <v>45804</v>
      </c>
      <c r="B11" s="22"/>
      <c r="C11" s="22" t="s">
        <v>80</v>
      </c>
      <c r="D11" s="34" t="s">
        <v>75</v>
      </c>
      <c r="E11" s="35">
        <v>168</v>
      </c>
      <c r="F11" s="25"/>
      <c r="G11" s="26"/>
      <c r="H11" s="27"/>
      <c r="I11" s="27"/>
      <c r="J11" s="27"/>
      <c r="K11" s="27"/>
      <c r="L11" s="27"/>
      <c r="M11" s="27"/>
      <c r="N11" s="27"/>
      <c r="O11" s="27"/>
      <c r="P11" s="27"/>
      <c r="Q11" s="27"/>
      <c r="R11" s="27"/>
      <c r="S11" s="27"/>
      <c r="T11" s="27"/>
      <c r="U11" s="27"/>
      <c r="V11" s="27"/>
      <c r="W11" s="27"/>
      <c r="X11" s="27"/>
      <c r="Y11" s="27"/>
      <c r="Z11" s="28"/>
      <c r="AA11" s="29"/>
      <c r="AB11" s="29"/>
      <c r="AC11" s="30"/>
    </row>
    <row r="12" spans="1:29" s="31" customFormat="1" ht="15.6" x14ac:dyDescent="0.3">
      <c r="A12" s="167">
        <v>45810</v>
      </c>
      <c r="B12" s="22"/>
      <c r="C12" s="22" t="s">
        <v>81</v>
      </c>
      <c r="D12" s="34" t="s">
        <v>77</v>
      </c>
      <c r="E12" s="35">
        <v>567.55999999999995</v>
      </c>
      <c r="F12" s="25"/>
      <c r="G12" s="26"/>
      <c r="H12" s="27"/>
      <c r="I12" s="27"/>
      <c r="J12" s="27"/>
      <c r="K12" s="27"/>
      <c r="L12" s="27"/>
      <c r="M12" s="27"/>
      <c r="N12" s="27"/>
      <c r="O12" s="27"/>
      <c r="P12" s="27"/>
      <c r="Q12" s="27"/>
      <c r="R12" s="27"/>
      <c r="S12" s="27"/>
      <c r="T12" s="27"/>
      <c r="U12" s="27"/>
      <c r="V12" s="27"/>
      <c r="W12" s="27"/>
      <c r="X12" s="27"/>
      <c r="Y12" s="27"/>
      <c r="Z12" s="28"/>
      <c r="AA12" s="29"/>
      <c r="AB12" s="29"/>
      <c r="AC12" s="30"/>
    </row>
    <row r="13" spans="1:29" s="31" customFormat="1" ht="15.6" x14ac:dyDescent="0.3">
      <c r="A13" s="167">
        <v>45810</v>
      </c>
      <c r="B13" s="22"/>
      <c r="C13" s="22" t="s">
        <v>82</v>
      </c>
      <c r="D13" s="34" t="s">
        <v>77</v>
      </c>
      <c r="E13" s="35">
        <v>418.46</v>
      </c>
      <c r="F13" s="25"/>
      <c r="G13" s="26"/>
      <c r="H13" s="27"/>
      <c r="I13" s="27"/>
      <c r="J13" s="27"/>
      <c r="K13" s="27"/>
      <c r="L13" s="27"/>
      <c r="M13" s="27"/>
      <c r="N13" s="27"/>
      <c r="O13" s="27"/>
      <c r="P13" s="27"/>
      <c r="Q13" s="27"/>
      <c r="R13" s="27"/>
      <c r="S13" s="27"/>
      <c r="T13" s="27"/>
      <c r="U13" s="27"/>
      <c r="V13" s="27"/>
      <c r="W13" s="27"/>
      <c r="X13" s="27"/>
      <c r="Y13" s="27"/>
      <c r="Z13" s="28"/>
      <c r="AA13" s="37"/>
      <c r="AB13" s="29"/>
      <c r="AC13" s="30"/>
    </row>
    <row r="14" spans="1:29" s="31" customFormat="1" ht="15.6" x14ac:dyDescent="0.3">
      <c r="A14" s="167">
        <v>45825</v>
      </c>
      <c r="B14" s="22"/>
      <c r="C14" s="22" t="s">
        <v>74</v>
      </c>
      <c r="D14" s="34" t="s">
        <v>75</v>
      </c>
      <c r="E14" s="35">
        <v>4.25</v>
      </c>
      <c r="F14" s="25"/>
      <c r="G14" s="26"/>
      <c r="H14" s="27"/>
      <c r="I14" s="27"/>
      <c r="J14" s="27"/>
      <c r="K14" s="27"/>
      <c r="L14" s="27"/>
      <c r="M14" s="27"/>
      <c r="N14" s="27"/>
      <c r="O14" s="27"/>
      <c r="P14" s="27"/>
      <c r="Q14" s="27"/>
      <c r="R14" s="27"/>
      <c r="S14" s="27"/>
      <c r="T14" s="27"/>
      <c r="U14" s="27"/>
      <c r="V14" s="27"/>
      <c r="W14" s="27"/>
      <c r="X14" s="27"/>
      <c r="Y14" s="27"/>
      <c r="Z14" s="28"/>
      <c r="AA14" s="37"/>
      <c r="AB14" s="29"/>
      <c r="AC14" s="30"/>
    </row>
    <row r="15" spans="1:29" s="31" customFormat="1" ht="15.6" x14ac:dyDescent="0.3">
      <c r="A15" s="167">
        <v>45826</v>
      </c>
      <c r="B15" s="22"/>
      <c r="C15" s="36" t="s">
        <v>79</v>
      </c>
      <c r="D15" s="34" t="s">
        <v>77</v>
      </c>
      <c r="E15" s="35">
        <v>90</v>
      </c>
      <c r="F15" s="25"/>
      <c r="G15" s="26"/>
      <c r="H15" s="27"/>
      <c r="I15" s="27"/>
      <c r="J15" s="27"/>
      <c r="K15" s="27"/>
      <c r="L15" s="27"/>
      <c r="M15" s="27"/>
      <c r="N15" s="27"/>
      <c r="O15" s="27"/>
      <c r="P15" s="27"/>
      <c r="Q15" s="27"/>
      <c r="R15" s="27"/>
      <c r="S15" s="27"/>
      <c r="T15" s="27"/>
      <c r="U15" s="27"/>
      <c r="V15" s="27"/>
      <c r="W15" s="27"/>
      <c r="X15" s="27"/>
      <c r="Y15" s="27"/>
      <c r="Z15" s="28"/>
      <c r="AA15" s="37"/>
      <c r="AB15" s="29"/>
      <c r="AC15" s="30"/>
    </row>
    <row r="16" spans="1:29" s="31" customFormat="1" ht="15.6" x14ac:dyDescent="0.3">
      <c r="A16" s="167">
        <v>45841</v>
      </c>
      <c r="B16" s="22"/>
      <c r="C16" s="22" t="s">
        <v>83</v>
      </c>
      <c r="D16" s="34" t="s">
        <v>77</v>
      </c>
      <c r="E16" s="35">
        <v>117.5</v>
      </c>
      <c r="F16" s="25"/>
      <c r="G16" s="26"/>
      <c r="H16" s="27"/>
      <c r="I16" s="27"/>
      <c r="J16" s="27"/>
      <c r="K16" s="27"/>
      <c r="L16" s="27"/>
      <c r="M16" s="27"/>
      <c r="N16" s="27"/>
      <c r="O16" s="27"/>
      <c r="P16" s="27"/>
      <c r="Q16" s="27"/>
      <c r="R16" s="27"/>
      <c r="S16" s="27"/>
      <c r="T16" s="27"/>
      <c r="U16" s="27"/>
      <c r="V16" s="27"/>
      <c r="W16" s="27"/>
      <c r="X16" s="27"/>
      <c r="Y16" s="27"/>
      <c r="Z16" s="28"/>
      <c r="AA16" s="37"/>
      <c r="AB16" s="29"/>
      <c r="AC16" s="30"/>
    </row>
    <row r="17" spans="1:29" s="31" customFormat="1" ht="15.6" x14ac:dyDescent="0.3">
      <c r="A17" s="167">
        <v>45845</v>
      </c>
      <c r="B17" s="22"/>
      <c r="C17" s="36" t="s">
        <v>79</v>
      </c>
      <c r="D17" s="34" t="s">
        <v>77</v>
      </c>
      <c r="E17" s="35">
        <v>90</v>
      </c>
      <c r="F17" s="25"/>
      <c r="G17" s="26"/>
      <c r="H17" s="27"/>
      <c r="I17" s="27"/>
      <c r="J17" s="27"/>
      <c r="K17" s="27"/>
      <c r="L17" s="27"/>
      <c r="M17" s="27"/>
      <c r="N17" s="27"/>
      <c r="O17" s="27"/>
      <c r="P17" s="27"/>
      <c r="Q17" s="27"/>
      <c r="R17" s="27"/>
      <c r="S17" s="27"/>
      <c r="T17" s="27"/>
      <c r="U17" s="27"/>
      <c r="V17" s="27"/>
      <c r="W17" s="27"/>
      <c r="X17" s="27"/>
      <c r="Y17" s="27"/>
      <c r="Z17" s="28"/>
      <c r="AA17" s="37"/>
      <c r="AB17" s="29"/>
      <c r="AC17" s="30"/>
    </row>
    <row r="18" spans="1:29" s="31" customFormat="1" ht="15.6" x14ac:dyDescent="0.3">
      <c r="A18" s="167">
        <v>45845</v>
      </c>
      <c r="B18" s="22"/>
      <c r="C18" s="22" t="s">
        <v>81</v>
      </c>
      <c r="D18" s="34" t="s">
        <v>77</v>
      </c>
      <c r="E18" s="35">
        <v>425.76</v>
      </c>
      <c r="F18" s="25"/>
      <c r="G18" s="26"/>
      <c r="H18" s="27"/>
      <c r="I18" s="27"/>
      <c r="J18" s="27"/>
      <c r="K18" s="27"/>
      <c r="L18" s="27"/>
      <c r="M18" s="27"/>
      <c r="N18" s="27"/>
      <c r="O18" s="27"/>
      <c r="P18" s="27"/>
      <c r="Q18" s="27"/>
      <c r="R18" s="27"/>
      <c r="S18" s="27"/>
      <c r="T18" s="27"/>
      <c r="U18" s="27"/>
      <c r="V18" s="27"/>
      <c r="W18" s="27"/>
      <c r="X18" s="27"/>
      <c r="Y18" s="27"/>
      <c r="Z18" s="28"/>
      <c r="AA18" s="37"/>
      <c r="AB18" s="29"/>
      <c r="AC18" s="30"/>
    </row>
    <row r="19" spans="1:29" s="31" customFormat="1" ht="15.6" x14ac:dyDescent="0.3">
      <c r="A19" s="167">
        <v>45856</v>
      </c>
      <c r="B19" s="22"/>
      <c r="C19" s="22" t="s">
        <v>74</v>
      </c>
      <c r="D19" s="34" t="s">
        <v>75</v>
      </c>
      <c r="E19" s="35">
        <v>4.71</v>
      </c>
      <c r="F19" s="25"/>
      <c r="G19" s="26"/>
      <c r="H19" s="27"/>
      <c r="I19" s="27"/>
      <c r="J19" s="27"/>
      <c r="K19" s="27"/>
      <c r="L19" s="27"/>
      <c r="M19" s="27"/>
      <c r="N19" s="27"/>
      <c r="O19" s="27"/>
      <c r="P19" s="27"/>
      <c r="Q19" s="27"/>
      <c r="R19" s="27"/>
      <c r="S19" s="27"/>
      <c r="T19" s="27"/>
      <c r="U19" s="27"/>
      <c r="V19" s="27"/>
      <c r="W19" s="27"/>
      <c r="X19" s="27"/>
      <c r="Y19" s="27"/>
      <c r="Z19" s="28"/>
      <c r="AA19" s="37"/>
      <c r="AB19" s="29"/>
      <c r="AC19" s="30"/>
    </row>
    <row r="20" spans="1:29" s="31" customFormat="1" ht="15.6" x14ac:dyDescent="0.3">
      <c r="A20" s="167">
        <v>45873</v>
      </c>
      <c r="B20" s="22"/>
      <c r="C20" s="22" t="s">
        <v>81</v>
      </c>
      <c r="D20" s="34" t="s">
        <v>77</v>
      </c>
      <c r="E20" s="35">
        <v>425.77</v>
      </c>
      <c r="F20" s="25"/>
      <c r="G20" s="26"/>
      <c r="H20" s="27"/>
      <c r="I20" s="27"/>
      <c r="J20" s="27"/>
      <c r="K20" s="27"/>
      <c r="L20" s="27"/>
      <c r="M20" s="27"/>
      <c r="N20" s="27"/>
      <c r="O20" s="27"/>
      <c r="P20" s="27"/>
      <c r="Q20" s="27"/>
      <c r="R20" s="27"/>
      <c r="S20" s="27"/>
      <c r="T20" s="27"/>
      <c r="U20" s="27"/>
      <c r="V20" s="27"/>
      <c r="W20" s="27"/>
      <c r="X20" s="27"/>
      <c r="Y20" s="27"/>
      <c r="Z20" s="28"/>
      <c r="AA20" s="37"/>
      <c r="AB20" s="29"/>
      <c r="AC20" s="30"/>
    </row>
    <row r="21" spans="1:29" s="31" customFormat="1" ht="15.6" x14ac:dyDescent="0.3">
      <c r="A21" s="167">
        <v>45873</v>
      </c>
      <c r="B21" s="22"/>
      <c r="C21" s="22" t="s">
        <v>84</v>
      </c>
      <c r="D21" s="34" t="s">
        <v>85</v>
      </c>
      <c r="E21" s="35">
        <v>124.8</v>
      </c>
      <c r="F21" s="25"/>
      <c r="G21" s="26"/>
      <c r="H21" s="27"/>
      <c r="I21" s="27"/>
      <c r="J21" s="27"/>
      <c r="K21" s="27"/>
      <c r="L21" s="27"/>
      <c r="M21" s="27"/>
      <c r="N21" s="27"/>
      <c r="O21" s="27"/>
      <c r="P21" s="27"/>
      <c r="Q21" s="27"/>
      <c r="R21" s="27"/>
      <c r="S21" s="27"/>
      <c r="T21" s="27"/>
      <c r="U21" s="27"/>
      <c r="V21" s="27"/>
      <c r="W21" s="27"/>
      <c r="X21" s="27"/>
      <c r="Y21" s="27"/>
      <c r="Z21" s="28"/>
      <c r="AA21" s="37"/>
      <c r="AB21" s="29"/>
      <c r="AC21" s="30"/>
    </row>
    <row r="22" spans="1:29" s="31" customFormat="1" ht="15.6" x14ac:dyDescent="0.3">
      <c r="A22" s="167">
        <v>45873</v>
      </c>
      <c r="B22" s="22"/>
      <c r="C22" s="36" t="s">
        <v>79</v>
      </c>
      <c r="D22" s="34" t="s">
        <v>77</v>
      </c>
      <c r="E22" s="35">
        <v>90</v>
      </c>
      <c r="F22" s="25"/>
      <c r="G22" s="26"/>
      <c r="H22" s="27"/>
      <c r="I22" s="27"/>
      <c r="J22" s="27"/>
      <c r="K22" s="27"/>
      <c r="L22" s="27"/>
      <c r="M22" s="27"/>
      <c r="N22" s="27"/>
      <c r="O22" s="27"/>
      <c r="P22" s="27"/>
      <c r="Q22" s="27"/>
      <c r="R22" s="27"/>
      <c r="S22" s="27"/>
      <c r="T22" s="27"/>
      <c r="U22" s="27"/>
      <c r="V22" s="27"/>
      <c r="W22" s="27"/>
      <c r="X22" s="27"/>
      <c r="Y22" s="27"/>
      <c r="Z22" s="28"/>
      <c r="AA22" s="37"/>
      <c r="AB22" s="29"/>
      <c r="AC22" s="30"/>
    </row>
    <row r="23" spans="1:29" s="31" customFormat="1" ht="15.6" x14ac:dyDescent="0.3">
      <c r="A23" s="167">
        <v>45887</v>
      </c>
      <c r="B23" s="22"/>
      <c r="C23" s="22" t="s">
        <v>74</v>
      </c>
      <c r="D23" s="34" t="s">
        <v>75</v>
      </c>
      <c r="E23" s="35">
        <v>4.25</v>
      </c>
      <c r="F23" s="25"/>
      <c r="G23" s="26"/>
      <c r="H23" s="27"/>
      <c r="I23" s="27"/>
      <c r="J23" s="27"/>
      <c r="K23" s="27"/>
      <c r="L23" s="27"/>
      <c r="M23" s="27"/>
      <c r="N23" s="27"/>
      <c r="O23" s="27"/>
      <c r="P23" s="27"/>
      <c r="Q23" s="27"/>
      <c r="R23" s="27"/>
      <c r="S23" s="27"/>
      <c r="T23" s="27"/>
      <c r="U23" s="27"/>
      <c r="V23" s="27"/>
      <c r="W23" s="27"/>
      <c r="X23" s="27"/>
      <c r="Y23" s="27"/>
      <c r="Z23" s="28"/>
      <c r="AA23" s="37"/>
      <c r="AB23" s="29"/>
      <c r="AC23" s="30"/>
    </row>
    <row r="24" spans="1:29" s="31" customFormat="1" ht="15.6" x14ac:dyDescent="0.3">
      <c r="A24" s="167">
        <v>45901</v>
      </c>
      <c r="B24" s="22"/>
      <c r="C24" s="22" t="s">
        <v>81</v>
      </c>
      <c r="D24" s="34" t="s">
        <v>77</v>
      </c>
      <c r="E24" s="35">
        <v>449.77</v>
      </c>
      <c r="F24" s="25"/>
      <c r="G24" s="26"/>
      <c r="H24" s="27"/>
      <c r="I24" s="27"/>
      <c r="J24" s="27"/>
      <c r="K24" s="27"/>
      <c r="L24" s="27"/>
      <c r="M24" s="27"/>
      <c r="N24" s="27"/>
      <c r="O24" s="27"/>
      <c r="P24" s="27"/>
      <c r="Q24" s="27"/>
      <c r="R24" s="27"/>
      <c r="S24" s="27"/>
      <c r="T24" s="27"/>
      <c r="U24" s="27"/>
      <c r="V24" s="27"/>
      <c r="W24" s="27"/>
      <c r="X24" s="27"/>
      <c r="Y24" s="27"/>
      <c r="Z24" s="28"/>
      <c r="AA24" s="37"/>
      <c r="AB24" s="29"/>
      <c r="AC24" s="30"/>
    </row>
    <row r="25" spans="1:29" s="31" customFormat="1" ht="15.6" x14ac:dyDescent="0.3">
      <c r="A25" s="167">
        <v>45901</v>
      </c>
      <c r="B25" s="22"/>
      <c r="C25" s="22" t="s">
        <v>87</v>
      </c>
      <c r="D25" s="34" t="s">
        <v>77</v>
      </c>
      <c r="E25" s="35">
        <v>816</v>
      </c>
      <c r="F25" s="25"/>
      <c r="G25" s="26"/>
      <c r="H25" s="27"/>
      <c r="I25" s="27"/>
      <c r="J25" s="27"/>
      <c r="K25" s="27"/>
      <c r="L25" s="27"/>
      <c r="M25" s="27"/>
      <c r="N25" s="27"/>
      <c r="O25" s="27"/>
      <c r="P25" s="27"/>
      <c r="Q25" s="27"/>
      <c r="R25" s="27"/>
      <c r="S25" s="27"/>
      <c r="T25" s="27"/>
      <c r="U25" s="27"/>
      <c r="V25" s="27"/>
      <c r="W25" s="27"/>
      <c r="X25" s="27"/>
      <c r="Y25" s="27"/>
      <c r="Z25" s="28"/>
      <c r="AA25" s="37"/>
      <c r="AB25" s="29"/>
      <c r="AC25" s="30"/>
    </row>
    <row r="26" spans="1:29" s="31" customFormat="1" ht="15.6" x14ac:dyDescent="0.3">
      <c r="A26" s="167">
        <v>45908</v>
      </c>
      <c r="B26" s="22"/>
      <c r="C26" s="36" t="s">
        <v>79</v>
      </c>
      <c r="D26" s="34" t="s">
        <v>77</v>
      </c>
      <c r="E26" s="35">
        <v>90</v>
      </c>
      <c r="F26" s="25"/>
      <c r="G26" s="26"/>
      <c r="H26" s="27"/>
      <c r="I26" s="27"/>
      <c r="J26" s="27"/>
      <c r="K26" s="27"/>
      <c r="L26" s="27"/>
      <c r="M26" s="27"/>
      <c r="N26" s="27"/>
      <c r="O26" s="27"/>
      <c r="P26" s="27"/>
      <c r="Q26" s="27"/>
      <c r="R26" s="27"/>
      <c r="S26" s="27"/>
      <c r="T26" s="27"/>
      <c r="U26" s="27"/>
      <c r="V26" s="27"/>
      <c r="W26" s="27"/>
      <c r="X26" s="27"/>
      <c r="Y26" s="27"/>
      <c r="Z26" s="28"/>
      <c r="AA26" s="37"/>
      <c r="AB26" s="29"/>
      <c r="AC26" s="30"/>
    </row>
    <row r="27" spans="1:29" s="31" customFormat="1" ht="15.6" x14ac:dyDescent="0.3">
      <c r="A27" s="167">
        <v>45916</v>
      </c>
      <c r="B27" s="22"/>
      <c r="C27" s="22" t="s">
        <v>74</v>
      </c>
      <c r="D27" s="34" t="s">
        <v>75</v>
      </c>
      <c r="E27" s="35">
        <v>4.25</v>
      </c>
      <c r="F27" s="25"/>
      <c r="G27" s="26"/>
      <c r="H27" s="27"/>
      <c r="I27" s="27"/>
      <c r="J27" s="27"/>
      <c r="K27" s="27"/>
      <c r="L27" s="27"/>
      <c r="M27" s="27"/>
      <c r="N27" s="27"/>
      <c r="O27" s="27"/>
      <c r="P27" s="27"/>
      <c r="Q27" s="27"/>
      <c r="R27" s="27"/>
      <c r="S27" s="27"/>
      <c r="T27" s="27"/>
      <c r="U27" s="27"/>
      <c r="V27" s="27"/>
      <c r="W27" s="27"/>
      <c r="X27" s="27"/>
      <c r="Y27" s="27"/>
      <c r="Z27" s="28"/>
      <c r="AA27" s="37"/>
      <c r="AB27" s="29"/>
      <c r="AC27" s="30"/>
    </row>
    <row r="28" spans="1:29" s="31" customFormat="1" ht="15.6" x14ac:dyDescent="0.3">
      <c r="A28" s="167">
        <v>45918</v>
      </c>
      <c r="B28" s="22"/>
      <c r="C28" s="22" t="s">
        <v>88</v>
      </c>
      <c r="D28" s="34" t="s">
        <v>77</v>
      </c>
      <c r="E28" s="35">
        <v>273.60000000000002</v>
      </c>
      <c r="F28" s="25"/>
      <c r="G28" s="26"/>
      <c r="H28" s="27"/>
      <c r="I28" s="27"/>
      <c r="J28" s="27"/>
      <c r="K28" s="27"/>
      <c r="L28" s="27"/>
      <c r="M28" s="27"/>
      <c r="N28" s="27"/>
      <c r="O28" s="27"/>
      <c r="P28" s="27"/>
      <c r="Q28" s="27"/>
      <c r="R28" s="27"/>
      <c r="S28" s="27"/>
      <c r="T28" s="27"/>
      <c r="U28" s="27"/>
      <c r="V28" s="27"/>
      <c r="W28" s="27"/>
      <c r="X28" s="27"/>
      <c r="Y28" s="27"/>
      <c r="Z28" s="28"/>
      <c r="AA28" s="37"/>
      <c r="AB28" s="29"/>
      <c r="AC28" s="30"/>
    </row>
    <row r="29" spans="1:29" s="31" customFormat="1" ht="15.6" x14ac:dyDescent="0.3">
      <c r="A29" s="167">
        <v>45918</v>
      </c>
      <c r="B29" s="22"/>
      <c r="C29" s="22" t="s">
        <v>89</v>
      </c>
      <c r="D29" s="34" t="s">
        <v>77</v>
      </c>
      <c r="E29" s="35">
        <v>233.68</v>
      </c>
      <c r="F29" s="25"/>
      <c r="G29" s="26"/>
      <c r="H29" s="27"/>
      <c r="I29" s="27"/>
      <c r="J29" s="27"/>
      <c r="K29" s="27"/>
      <c r="L29" s="27"/>
      <c r="M29" s="27"/>
      <c r="N29" s="27"/>
      <c r="O29" s="27"/>
      <c r="P29" s="27"/>
      <c r="Q29" s="27"/>
      <c r="R29" s="27"/>
      <c r="S29" s="27"/>
      <c r="T29" s="27"/>
      <c r="U29" s="27"/>
      <c r="V29" s="27"/>
      <c r="W29" s="27"/>
      <c r="X29" s="27"/>
      <c r="Y29" s="27"/>
      <c r="Z29" s="28"/>
      <c r="AA29" s="37"/>
      <c r="AB29" s="29"/>
      <c r="AC29" s="30"/>
    </row>
    <row r="30" spans="1:29" s="31" customFormat="1" ht="15.6" x14ac:dyDescent="0.3">
      <c r="A30" s="167">
        <v>45931</v>
      </c>
      <c r="B30" s="22"/>
      <c r="C30" s="22" t="s">
        <v>81</v>
      </c>
      <c r="D30" s="34" t="s">
        <v>77</v>
      </c>
      <c r="E30" s="35">
        <v>517.87</v>
      </c>
      <c r="F30" s="25"/>
      <c r="G30" s="26"/>
      <c r="H30" s="27"/>
      <c r="I30" s="27"/>
      <c r="J30" s="27"/>
      <c r="K30" s="27"/>
      <c r="L30" s="27"/>
      <c r="M30" s="27"/>
      <c r="N30" s="27"/>
      <c r="O30" s="27"/>
      <c r="P30" s="27"/>
      <c r="Q30" s="27"/>
      <c r="R30" s="27"/>
      <c r="S30" s="27"/>
      <c r="T30" s="27"/>
      <c r="U30" s="27"/>
      <c r="V30" s="27"/>
      <c r="W30" s="27"/>
      <c r="X30" s="27"/>
      <c r="Y30" s="27"/>
      <c r="Z30" s="28"/>
      <c r="AA30" s="37"/>
      <c r="AB30" s="29"/>
      <c r="AC30" s="30"/>
    </row>
    <row r="31" spans="1:29" s="31" customFormat="1" ht="15.6" x14ac:dyDescent="0.3">
      <c r="A31" s="167">
        <v>45931</v>
      </c>
      <c r="B31" s="22"/>
      <c r="C31" s="22" t="s">
        <v>90</v>
      </c>
      <c r="D31" s="34" t="s">
        <v>77</v>
      </c>
      <c r="E31" s="35">
        <v>252</v>
      </c>
      <c r="F31" s="25"/>
      <c r="G31" s="26"/>
      <c r="H31" s="27"/>
      <c r="I31" s="27"/>
      <c r="J31" s="27"/>
      <c r="K31" s="27"/>
      <c r="L31" s="27"/>
      <c r="M31" s="27"/>
      <c r="N31" s="27"/>
      <c r="O31" s="27"/>
      <c r="P31" s="27"/>
      <c r="Q31" s="27"/>
      <c r="R31" s="27"/>
      <c r="S31" s="27"/>
      <c r="T31" s="27"/>
      <c r="U31" s="27"/>
      <c r="V31" s="27"/>
      <c r="W31" s="27"/>
      <c r="X31" s="27"/>
      <c r="Y31" s="27"/>
      <c r="Z31" s="28"/>
      <c r="AA31" s="37"/>
      <c r="AB31" s="29"/>
      <c r="AC31" s="30"/>
    </row>
    <row r="32" spans="1:29" s="31" customFormat="1" ht="15.6" x14ac:dyDescent="0.3">
      <c r="A32" s="167">
        <v>45931</v>
      </c>
      <c r="B32" s="22"/>
      <c r="C32" s="22" t="s">
        <v>91</v>
      </c>
      <c r="D32" s="34" t="s">
        <v>77</v>
      </c>
      <c r="E32" s="35">
        <v>42</v>
      </c>
      <c r="F32" s="25"/>
      <c r="G32" s="26"/>
      <c r="H32" s="27"/>
      <c r="I32" s="27"/>
      <c r="J32" s="27"/>
      <c r="K32" s="27"/>
      <c r="L32" s="27"/>
      <c r="M32" s="27"/>
      <c r="N32" s="27"/>
      <c r="O32" s="27"/>
      <c r="P32" s="27"/>
      <c r="Q32" s="27"/>
      <c r="R32" s="27"/>
      <c r="S32" s="27"/>
      <c r="T32" s="27"/>
      <c r="U32" s="27"/>
      <c r="V32" s="27"/>
      <c r="W32" s="27"/>
      <c r="X32" s="27"/>
      <c r="Y32" s="27"/>
      <c r="Z32" s="28"/>
      <c r="AA32" s="37"/>
      <c r="AB32" s="29"/>
      <c r="AC32" s="30"/>
    </row>
    <row r="33" spans="1:29" s="31" customFormat="1" ht="15.6" x14ac:dyDescent="0.3">
      <c r="A33" s="167">
        <v>45936</v>
      </c>
      <c r="B33" s="22"/>
      <c r="C33" s="36" t="s">
        <v>79</v>
      </c>
      <c r="D33" s="34" t="s">
        <v>77</v>
      </c>
      <c r="E33" s="35">
        <v>90</v>
      </c>
      <c r="F33" s="25"/>
      <c r="G33" s="26"/>
      <c r="H33" s="27"/>
      <c r="I33" s="27"/>
      <c r="J33" s="27"/>
      <c r="K33" s="27"/>
      <c r="L33" s="27"/>
      <c r="M33" s="27"/>
      <c r="N33" s="27"/>
      <c r="O33" s="27"/>
      <c r="P33" s="27"/>
      <c r="Q33" s="27"/>
      <c r="R33" s="27"/>
      <c r="S33" s="27"/>
      <c r="T33" s="27"/>
      <c r="U33" s="27"/>
      <c r="V33" s="27"/>
      <c r="W33" s="27"/>
      <c r="X33" s="27"/>
      <c r="Y33" s="27"/>
      <c r="Z33" s="28"/>
      <c r="AA33" s="37"/>
      <c r="AB33" s="29"/>
      <c r="AC33" s="30"/>
    </row>
    <row r="34" spans="1:29" s="31" customFormat="1" ht="15.6" x14ac:dyDescent="0.3">
      <c r="A34" s="167">
        <v>45950</v>
      </c>
      <c r="B34" s="22"/>
      <c r="C34" s="22" t="s">
        <v>74</v>
      </c>
      <c r="D34" s="34" t="s">
        <v>75</v>
      </c>
      <c r="E34" s="35">
        <v>4.25</v>
      </c>
      <c r="F34" s="25"/>
      <c r="G34" s="26"/>
      <c r="H34" s="27"/>
      <c r="I34" s="27"/>
      <c r="J34" s="27"/>
      <c r="K34" s="27"/>
      <c r="L34" s="27"/>
      <c r="M34" s="27"/>
      <c r="N34" s="27"/>
      <c r="O34" s="27"/>
      <c r="P34" s="27"/>
      <c r="Q34" s="27"/>
      <c r="R34" s="27"/>
      <c r="S34" s="27"/>
      <c r="T34" s="27"/>
      <c r="U34" s="27"/>
      <c r="V34" s="27"/>
      <c r="W34" s="27"/>
      <c r="X34" s="27"/>
      <c r="Y34" s="27"/>
      <c r="Z34" s="28"/>
      <c r="AA34" s="37"/>
      <c r="AB34" s="29"/>
      <c r="AC34" s="30"/>
    </row>
    <row r="35" spans="1:29" s="31" customFormat="1" ht="15.6" x14ac:dyDescent="0.3">
      <c r="A35" s="167">
        <v>45964</v>
      </c>
      <c r="B35" s="22"/>
      <c r="C35" s="22" t="s">
        <v>81</v>
      </c>
      <c r="D35" s="34" t="s">
        <v>77</v>
      </c>
      <c r="E35" s="35">
        <v>439.53</v>
      </c>
      <c r="F35" s="25"/>
      <c r="G35" s="26"/>
      <c r="H35" s="27"/>
      <c r="I35" s="27"/>
      <c r="J35" s="27"/>
      <c r="K35" s="27"/>
      <c r="L35" s="27"/>
      <c r="M35" s="27"/>
      <c r="N35" s="27"/>
      <c r="O35" s="27"/>
      <c r="P35" s="27"/>
      <c r="Q35" s="27"/>
      <c r="R35" s="27"/>
      <c r="S35" s="27"/>
      <c r="T35" s="27"/>
      <c r="U35" s="27"/>
      <c r="V35" s="27"/>
      <c r="W35" s="27"/>
      <c r="X35" s="27"/>
      <c r="Y35" s="27"/>
      <c r="Z35" s="28"/>
      <c r="AA35" s="37"/>
      <c r="AB35" s="29"/>
      <c r="AC35" s="30"/>
    </row>
    <row r="36" spans="1:29" s="31" customFormat="1" ht="15.6" x14ac:dyDescent="0.3">
      <c r="A36" s="167">
        <v>45964</v>
      </c>
      <c r="B36" s="22"/>
      <c r="C36" s="22" t="s">
        <v>94</v>
      </c>
      <c r="D36" s="34" t="s">
        <v>77</v>
      </c>
      <c r="E36" s="35">
        <v>84.99</v>
      </c>
      <c r="F36" s="25"/>
      <c r="G36" s="26"/>
      <c r="H36" s="27"/>
      <c r="I36" s="27"/>
      <c r="J36" s="27"/>
      <c r="K36" s="27"/>
      <c r="L36" s="27"/>
      <c r="M36" s="27"/>
      <c r="N36" s="27"/>
      <c r="O36" s="27"/>
      <c r="P36" s="27"/>
      <c r="Q36" s="27"/>
      <c r="R36" s="27"/>
      <c r="S36" s="27"/>
      <c r="T36" s="27"/>
      <c r="U36" s="27"/>
      <c r="V36" s="27"/>
      <c r="W36" s="27"/>
      <c r="X36" s="27"/>
      <c r="Y36" s="27"/>
      <c r="Z36" s="28"/>
      <c r="AA36" s="37"/>
      <c r="AB36" s="29"/>
      <c r="AC36" s="30"/>
    </row>
    <row r="37" spans="1:29" s="31" customFormat="1" ht="15.6" x14ac:dyDescent="0.3">
      <c r="A37" s="167">
        <v>45964</v>
      </c>
      <c r="B37" s="22"/>
      <c r="C37" s="22" t="s">
        <v>87</v>
      </c>
      <c r="D37" s="34" t="s">
        <v>77</v>
      </c>
      <c r="E37" s="35">
        <v>272</v>
      </c>
      <c r="F37" s="25"/>
      <c r="G37" s="26"/>
      <c r="H37" s="27"/>
      <c r="I37" s="27"/>
      <c r="J37" s="27"/>
      <c r="K37" s="27"/>
      <c r="L37" s="27"/>
      <c r="M37" s="27"/>
      <c r="N37" s="27"/>
      <c r="O37" s="27"/>
      <c r="P37" s="27"/>
      <c r="Q37" s="27"/>
      <c r="R37" s="27"/>
      <c r="S37" s="27"/>
      <c r="T37" s="27"/>
      <c r="U37" s="27"/>
      <c r="V37" s="27"/>
      <c r="W37" s="27"/>
      <c r="X37" s="27"/>
      <c r="Y37" s="27"/>
      <c r="Z37" s="28"/>
      <c r="AA37" s="37"/>
      <c r="AB37" s="29"/>
      <c r="AC37" s="30"/>
    </row>
    <row r="38" spans="1:29" s="31" customFormat="1" ht="15.6" x14ac:dyDescent="0.3">
      <c r="A38" s="167">
        <v>45964</v>
      </c>
      <c r="B38" s="22"/>
      <c r="C38" s="22" t="s">
        <v>87</v>
      </c>
      <c r="D38" s="34" t="s">
        <v>77</v>
      </c>
      <c r="E38" s="35">
        <v>272</v>
      </c>
      <c r="F38" s="25"/>
      <c r="G38" s="26"/>
      <c r="H38" s="27"/>
      <c r="I38" s="27"/>
      <c r="J38" s="27"/>
      <c r="K38" s="27"/>
      <c r="L38" s="27"/>
      <c r="M38" s="27"/>
      <c r="N38" s="27"/>
      <c r="O38" s="27"/>
      <c r="P38" s="27"/>
      <c r="Q38" s="27"/>
      <c r="R38" s="27"/>
      <c r="S38" s="27"/>
      <c r="T38" s="27"/>
      <c r="U38" s="27"/>
      <c r="V38" s="27"/>
      <c r="W38" s="27"/>
      <c r="X38" s="27"/>
      <c r="Y38" s="27"/>
      <c r="Z38" s="28"/>
      <c r="AA38" s="37"/>
      <c r="AB38" s="29"/>
      <c r="AC38" s="30"/>
    </row>
    <row r="39" spans="1:29" s="31" customFormat="1" ht="15.6" x14ac:dyDescent="0.3">
      <c r="A39" s="167">
        <v>45964</v>
      </c>
      <c r="B39" s="22"/>
      <c r="C39" s="36" t="s">
        <v>79</v>
      </c>
      <c r="D39" s="34" t="s">
        <v>77</v>
      </c>
      <c r="E39" s="35">
        <v>90</v>
      </c>
      <c r="F39" s="25"/>
      <c r="G39" s="26"/>
      <c r="H39" s="27"/>
      <c r="I39" s="27"/>
      <c r="J39" s="27"/>
      <c r="K39" s="27"/>
      <c r="L39" s="27"/>
      <c r="M39" s="27"/>
      <c r="N39" s="27"/>
      <c r="O39" s="27"/>
      <c r="P39" s="27"/>
      <c r="Q39" s="27"/>
      <c r="R39" s="27"/>
      <c r="S39" s="27"/>
      <c r="T39" s="27"/>
      <c r="U39" s="27"/>
      <c r="V39" s="27"/>
      <c r="W39" s="27"/>
      <c r="X39" s="27"/>
      <c r="Y39" s="27"/>
      <c r="Z39" s="28"/>
      <c r="AA39" s="37"/>
      <c r="AB39" s="29"/>
      <c r="AC39" s="30"/>
    </row>
    <row r="40" spans="1:29" s="31" customFormat="1" ht="15.6" x14ac:dyDescent="0.3">
      <c r="A40" s="167">
        <v>45979</v>
      </c>
      <c r="B40" s="22"/>
      <c r="C40" s="22" t="s">
        <v>74</v>
      </c>
      <c r="D40" s="34" t="s">
        <v>75</v>
      </c>
      <c r="E40" s="35">
        <v>4.25</v>
      </c>
      <c r="F40" s="25"/>
      <c r="G40" s="26"/>
      <c r="H40" s="27"/>
      <c r="I40" s="27"/>
      <c r="J40" s="27"/>
      <c r="K40" s="27"/>
      <c r="L40" s="27"/>
      <c r="M40" s="27"/>
      <c r="N40" s="27"/>
      <c r="O40" s="27"/>
      <c r="P40" s="27"/>
      <c r="Q40" s="27"/>
      <c r="R40" s="27"/>
      <c r="S40" s="27"/>
      <c r="T40" s="27"/>
      <c r="U40" s="27"/>
      <c r="V40" s="27"/>
      <c r="W40" s="27"/>
      <c r="X40" s="27"/>
      <c r="Y40" s="27"/>
      <c r="Z40" s="28"/>
      <c r="AA40" s="37"/>
      <c r="AB40" s="29"/>
      <c r="AC40" s="30"/>
    </row>
    <row r="41" spans="1:29" s="31" customFormat="1" ht="15.6" x14ac:dyDescent="0.3">
      <c r="A41" s="167">
        <v>45994</v>
      </c>
      <c r="B41" s="22"/>
      <c r="C41" s="38" t="s">
        <v>79</v>
      </c>
      <c r="D41" s="34" t="s">
        <v>77</v>
      </c>
      <c r="E41" s="35">
        <v>90</v>
      </c>
      <c r="F41" s="25"/>
      <c r="G41" s="26"/>
      <c r="H41" s="27"/>
      <c r="I41" s="27"/>
      <c r="J41" s="27"/>
      <c r="K41" s="27"/>
      <c r="L41" s="27"/>
      <c r="M41" s="27"/>
      <c r="N41" s="27"/>
      <c r="O41" s="27"/>
      <c r="P41" s="27"/>
      <c r="Q41" s="27"/>
      <c r="R41" s="27"/>
      <c r="S41" s="27"/>
      <c r="T41" s="27"/>
      <c r="U41" s="27"/>
      <c r="V41" s="27"/>
      <c r="W41" s="27"/>
      <c r="X41" s="27"/>
      <c r="Y41" s="27"/>
      <c r="Z41" s="28"/>
      <c r="AA41" s="37"/>
      <c r="AB41" s="29"/>
      <c r="AC41" s="30"/>
    </row>
    <row r="42" spans="1:29" s="31" customFormat="1" ht="15.6" x14ac:dyDescent="0.3">
      <c r="A42" s="167">
        <v>45994</v>
      </c>
      <c r="B42" s="22"/>
      <c r="C42" s="22" t="s">
        <v>81</v>
      </c>
      <c r="D42" s="34" t="s">
        <v>77</v>
      </c>
      <c r="E42" s="35">
        <v>439.54</v>
      </c>
      <c r="F42" s="25"/>
      <c r="G42" s="26"/>
      <c r="H42" s="27"/>
      <c r="I42" s="27"/>
      <c r="J42" s="27"/>
      <c r="K42" s="27"/>
      <c r="L42" s="27"/>
      <c r="M42" s="27"/>
      <c r="N42" s="27"/>
      <c r="O42" s="27"/>
      <c r="P42" s="27"/>
      <c r="Q42" s="27"/>
      <c r="R42" s="27"/>
      <c r="S42" s="27"/>
      <c r="T42" s="27"/>
      <c r="U42" s="27"/>
      <c r="V42" s="27"/>
      <c r="W42" s="27"/>
      <c r="X42" s="27"/>
      <c r="Y42" s="27"/>
      <c r="Z42" s="28"/>
      <c r="AA42" s="37"/>
      <c r="AB42" s="29"/>
      <c r="AC42" s="30"/>
    </row>
    <row r="43" spans="1:29" s="31" customFormat="1" ht="15.6" x14ac:dyDescent="0.3">
      <c r="A43" s="167">
        <v>45999</v>
      </c>
      <c r="B43" s="22"/>
      <c r="C43" s="22" t="s">
        <v>96</v>
      </c>
      <c r="D43" s="34" t="s">
        <v>77</v>
      </c>
      <c r="E43" s="35">
        <v>524.76</v>
      </c>
      <c r="F43" s="25"/>
      <c r="G43" s="26"/>
      <c r="H43" s="27"/>
      <c r="I43" s="27"/>
      <c r="J43" s="27"/>
      <c r="K43" s="27"/>
      <c r="L43" s="27"/>
      <c r="M43" s="27"/>
      <c r="N43" s="27"/>
      <c r="O43" s="27"/>
      <c r="P43" s="27"/>
      <c r="Q43" s="27"/>
      <c r="R43" s="27"/>
      <c r="S43" s="27"/>
      <c r="T43" s="27"/>
      <c r="U43" s="27"/>
      <c r="V43" s="27"/>
      <c r="W43" s="27"/>
      <c r="X43" s="27"/>
      <c r="Y43" s="27"/>
      <c r="Z43" s="28"/>
      <c r="AA43" s="37"/>
      <c r="AB43" s="29"/>
      <c r="AC43" s="30"/>
    </row>
    <row r="44" spans="1:29" s="31" customFormat="1" ht="15.6" x14ac:dyDescent="0.3">
      <c r="A44" s="167">
        <v>46007</v>
      </c>
      <c r="B44" s="22"/>
      <c r="C44" s="22" t="s">
        <v>74</v>
      </c>
      <c r="D44" s="34" t="s">
        <v>75</v>
      </c>
      <c r="E44" s="35">
        <v>4.25</v>
      </c>
      <c r="F44" s="25"/>
      <c r="G44" s="26"/>
      <c r="H44" s="27"/>
      <c r="I44" s="27"/>
      <c r="J44" s="27"/>
      <c r="K44" s="27"/>
      <c r="L44" s="27"/>
      <c r="M44" s="27"/>
      <c r="N44" s="27"/>
      <c r="O44" s="27"/>
      <c r="P44" s="27"/>
      <c r="Q44" s="27"/>
      <c r="R44" s="27"/>
      <c r="S44" s="27"/>
      <c r="T44" s="27"/>
      <c r="U44" s="27"/>
      <c r="V44" s="27"/>
      <c r="W44" s="27"/>
      <c r="X44" s="27"/>
      <c r="Y44" s="27"/>
      <c r="Z44" s="28"/>
      <c r="AA44" s="37"/>
      <c r="AB44" s="29"/>
      <c r="AC44" s="30"/>
    </row>
    <row r="45" spans="1:29" s="31" customFormat="1" ht="15.6" x14ac:dyDescent="0.3">
      <c r="A45" s="167">
        <v>46024</v>
      </c>
      <c r="B45" s="22"/>
      <c r="C45" s="22" t="s">
        <v>230</v>
      </c>
      <c r="D45" s="34" t="s">
        <v>77</v>
      </c>
      <c r="E45" s="35">
        <v>439.54</v>
      </c>
      <c r="F45" s="25"/>
      <c r="G45" s="26"/>
      <c r="H45" s="27"/>
      <c r="I45" s="27"/>
      <c r="J45" s="27"/>
      <c r="K45" s="27"/>
      <c r="L45" s="27"/>
      <c r="M45" s="27"/>
      <c r="N45" s="27"/>
      <c r="O45" s="27"/>
      <c r="P45" s="27"/>
      <c r="Q45" s="27"/>
      <c r="R45" s="27"/>
      <c r="S45" s="27"/>
      <c r="T45" s="27"/>
      <c r="U45" s="27"/>
      <c r="V45" s="27"/>
      <c r="W45" s="27"/>
      <c r="X45" s="27"/>
      <c r="Y45" s="27"/>
      <c r="Z45" s="28"/>
      <c r="AA45" s="37"/>
      <c r="AB45" s="29"/>
      <c r="AC45" s="30"/>
    </row>
    <row r="46" spans="1:29" s="31" customFormat="1" ht="15.6" x14ac:dyDescent="0.3">
      <c r="A46" s="167">
        <v>46037</v>
      </c>
      <c r="B46" s="22"/>
      <c r="C46" s="22" t="s">
        <v>241</v>
      </c>
      <c r="D46" s="34" t="s">
        <v>77</v>
      </c>
      <c r="E46" s="35">
        <v>90</v>
      </c>
      <c r="F46" s="25"/>
      <c r="G46" s="26"/>
      <c r="H46" s="27"/>
      <c r="I46" s="27"/>
      <c r="J46" s="27"/>
      <c r="K46" s="27"/>
      <c r="L46" s="27"/>
      <c r="M46" s="27"/>
      <c r="N46" s="27"/>
      <c r="O46" s="27"/>
      <c r="P46" s="27"/>
      <c r="Q46" s="27"/>
      <c r="R46" s="27"/>
      <c r="S46" s="27"/>
      <c r="T46" s="27"/>
      <c r="U46" s="27"/>
      <c r="V46" s="27"/>
      <c r="W46" s="27"/>
      <c r="X46" s="27"/>
      <c r="Y46" s="27"/>
      <c r="Z46" s="28"/>
      <c r="AA46" s="37"/>
      <c r="AB46" s="29"/>
      <c r="AC46" s="30"/>
    </row>
    <row r="47" spans="1:29" s="31" customFormat="1" ht="15.6" x14ac:dyDescent="0.3">
      <c r="A47" s="167">
        <v>46041</v>
      </c>
      <c r="B47" s="22"/>
      <c r="C47" s="22" t="s">
        <v>242</v>
      </c>
      <c r="D47" s="34" t="s">
        <v>75</v>
      </c>
      <c r="E47" s="35">
        <v>4.25</v>
      </c>
      <c r="F47" s="25"/>
      <c r="G47" s="26"/>
      <c r="H47" s="27"/>
      <c r="I47" s="27"/>
      <c r="J47" s="27"/>
      <c r="K47" s="27"/>
      <c r="L47" s="27"/>
      <c r="M47" s="27"/>
      <c r="N47" s="27"/>
      <c r="O47" s="27"/>
      <c r="P47" s="27"/>
      <c r="Q47" s="27"/>
      <c r="R47" s="27"/>
      <c r="S47" s="27"/>
      <c r="T47" s="27"/>
      <c r="U47" s="27"/>
      <c r="V47" s="27"/>
      <c r="W47" s="27"/>
      <c r="X47" s="27"/>
      <c r="Y47" s="27"/>
      <c r="Z47" s="28"/>
      <c r="AA47" s="37"/>
      <c r="AB47" s="29"/>
      <c r="AC47" s="30"/>
    </row>
    <row r="48" spans="1:29" s="31" customFormat="1" ht="15.6" x14ac:dyDescent="0.3">
      <c r="A48" s="167">
        <v>46048</v>
      </c>
      <c r="B48" s="22"/>
      <c r="C48" s="22" t="s">
        <v>243</v>
      </c>
      <c r="D48" s="34" t="s">
        <v>77</v>
      </c>
      <c r="E48" s="35">
        <v>2429.44</v>
      </c>
      <c r="F48" s="25"/>
      <c r="G48" s="26"/>
      <c r="H48" s="27"/>
      <c r="I48" s="27"/>
      <c r="J48" s="27"/>
      <c r="K48" s="27"/>
      <c r="L48" s="27"/>
      <c r="M48" s="27"/>
      <c r="N48" s="27"/>
      <c r="O48" s="27"/>
      <c r="P48" s="27"/>
      <c r="Q48" s="27"/>
      <c r="R48" s="27"/>
      <c r="S48" s="27"/>
      <c r="T48" s="27"/>
      <c r="U48" s="27"/>
      <c r="V48" s="27"/>
      <c r="W48" s="27"/>
      <c r="X48" s="27"/>
      <c r="Y48" s="27"/>
      <c r="Z48" s="28"/>
      <c r="AA48" s="37"/>
      <c r="AB48" s="29"/>
      <c r="AC48" s="30"/>
    </row>
    <row r="49" spans="1:29" s="31" customFormat="1" ht="15.6" x14ac:dyDescent="0.3">
      <c r="A49" s="167">
        <v>46049</v>
      </c>
      <c r="B49" s="22"/>
      <c r="C49" s="22" t="s">
        <v>244</v>
      </c>
      <c r="D49" s="34" t="s">
        <v>77</v>
      </c>
      <c r="E49" s="35">
        <v>42</v>
      </c>
      <c r="F49" s="25"/>
      <c r="G49" s="26"/>
      <c r="H49" s="27"/>
      <c r="I49" s="27"/>
      <c r="J49" s="27"/>
      <c r="K49" s="27"/>
      <c r="L49" s="27"/>
      <c r="M49" s="27"/>
      <c r="N49" s="27"/>
      <c r="O49" s="27"/>
      <c r="P49" s="27"/>
      <c r="Q49" s="27"/>
      <c r="R49" s="27"/>
      <c r="S49" s="27"/>
      <c r="T49" s="27"/>
      <c r="U49" s="27"/>
      <c r="V49" s="27"/>
      <c r="W49" s="27"/>
      <c r="X49" s="27"/>
      <c r="Y49" s="27"/>
      <c r="Z49" s="28"/>
      <c r="AA49" s="37"/>
      <c r="AB49" s="29"/>
      <c r="AC49" s="30"/>
    </row>
    <row r="50" spans="1:29" s="31" customFormat="1" ht="15.6" x14ac:dyDescent="0.3">
      <c r="A50" s="167">
        <v>46055</v>
      </c>
      <c r="B50" s="22"/>
      <c r="C50" s="22" t="s">
        <v>250</v>
      </c>
      <c r="D50" s="34" t="s">
        <v>77</v>
      </c>
      <c r="E50" s="35">
        <v>366.17</v>
      </c>
      <c r="F50" s="25"/>
      <c r="G50" s="26"/>
      <c r="H50" s="27"/>
      <c r="I50" s="27"/>
      <c r="J50" s="27"/>
      <c r="K50" s="27"/>
      <c r="L50" s="27"/>
      <c r="M50" s="27"/>
      <c r="N50" s="27"/>
      <c r="O50" s="27"/>
      <c r="P50" s="27"/>
      <c r="Q50" s="27"/>
      <c r="R50" s="27"/>
      <c r="S50" s="27"/>
      <c r="T50" s="27"/>
      <c r="U50" s="27"/>
      <c r="V50" s="27"/>
      <c r="W50" s="27"/>
      <c r="X50" s="27"/>
      <c r="Y50" s="27"/>
      <c r="Z50" s="28"/>
      <c r="AA50" s="37"/>
      <c r="AB50" s="29"/>
      <c r="AC50" s="30"/>
    </row>
    <row r="51" spans="1:29" s="31" customFormat="1" ht="15.6" x14ac:dyDescent="0.3">
      <c r="A51" s="167">
        <v>46055</v>
      </c>
      <c r="B51" s="22"/>
      <c r="C51" s="22" t="s">
        <v>249</v>
      </c>
      <c r="D51" s="34" t="s">
        <v>77</v>
      </c>
      <c r="E51" s="35">
        <v>90</v>
      </c>
      <c r="F51" s="25"/>
      <c r="G51" s="26"/>
      <c r="H51" s="27"/>
      <c r="I51" s="27"/>
      <c r="J51" s="27"/>
      <c r="K51" s="27"/>
      <c r="L51" s="27"/>
      <c r="M51" s="27"/>
      <c r="N51" s="27"/>
      <c r="O51" s="27"/>
      <c r="P51" s="27"/>
      <c r="Q51" s="27"/>
      <c r="R51" s="27"/>
      <c r="S51" s="27"/>
      <c r="T51" s="27"/>
      <c r="U51" s="27"/>
      <c r="V51" s="27"/>
      <c r="W51" s="27"/>
      <c r="X51" s="27"/>
      <c r="Y51" s="27"/>
      <c r="Z51" s="28"/>
      <c r="AA51" s="37"/>
      <c r="AB51" s="29"/>
      <c r="AC51" s="30"/>
    </row>
    <row r="52" spans="1:29" s="31" customFormat="1" ht="15.6" x14ac:dyDescent="0.3">
      <c r="A52" s="167">
        <v>46055</v>
      </c>
      <c r="B52" s="22"/>
      <c r="C52" s="22" t="s">
        <v>251</v>
      </c>
      <c r="D52" s="34" t="s">
        <v>77</v>
      </c>
      <c r="E52" s="35">
        <v>413.47</v>
      </c>
      <c r="F52" s="25"/>
      <c r="G52" s="26"/>
      <c r="H52" s="27"/>
      <c r="I52" s="27"/>
      <c r="J52" s="27"/>
      <c r="K52" s="27"/>
      <c r="L52" s="27"/>
      <c r="M52" s="27"/>
      <c r="N52" s="27"/>
      <c r="O52" s="27"/>
      <c r="P52" s="27"/>
      <c r="Q52" s="27"/>
      <c r="R52" s="27"/>
      <c r="S52" s="27"/>
      <c r="T52" s="27"/>
      <c r="U52" s="27"/>
      <c r="V52" s="27"/>
      <c r="W52" s="27"/>
      <c r="X52" s="27"/>
      <c r="Y52" s="27"/>
      <c r="Z52" s="28"/>
      <c r="AA52" s="37"/>
      <c r="AB52" s="29"/>
      <c r="AC52" s="30"/>
    </row>
    <row r="53" spans="1:29" s="31" customFormat="1" ht="15.6" x14ac:dyDescent="0.3">
      <c r="A53" s="167">
        <v>46066</v>
      </c>
      <c r="B53" s="22"/>
      <c r="C53" s="22" t="s">
        <v>252</v>
      </c>
      <c r="D53" s="34" t="s">
        <v>77</v>
      </c>
      <c r="E53" s="35">
        <v>560</v>
      </c>
      <c r="F53" s="25"/>
      <c r="G53" s="26"/>
      <c r="H53" s="27"/>
      <c r="I53" s="27"/>
      <c r="J53" s="27"/>
      <c r="K53" s="27"/>
      <c r="L53" s="27"/>
      <c r="M53" s="27"/>
      <c r="N53" s="27"/>
      <c r="O53" s="27"/>
      <c r="P53" s="27"/>
      <c r="Q53" s="27"/>
      <c r="R53" s="27"/>
      <c r="S53" s="27"/>
      <c r="T53" s="27"/>
      <c r="U53" s="27"/>
      <c r="V53" s="27"/>
      <c r="W53" s="27"/>
      <c r="X53" s="27"/>
      <c r="Y53" s="27"/>
      <c r="Z53" s="28"/>
      <c r="AA53" s="37"/>
      <c r="AB53" s="29"/>
      <c r="AC53" s="30"/>
    </row>
    <row r="54" spans="1:29" s="31" customFormat="1" ht="15.6" x14ac:dyDescent="0.3">
      <c r="A54" s="167">
        <v>46066</v>
      </c>
      <c r="B54" s="22"/>
      <c r="C54" s="22" t="s">
        <v>253</v>
      </c>
      <c r="D54" s="34" t="s">
        <v>77</v>
      </c>
      <c r="E54" s="35">
        <v>140</v>
      </c>
      <c r="F54" s="25"/>
      <c r="G54" s="26"/>
      <c r="H54" s="27"/>
      <c r="I54" s="27"/>
      <c r="J54" s="27"/>
      <c r="K54" s="27"/>
      <c r="L54" s="27"/>
      <c r="M54" s="27"/>
      <c r="N54" s="27"/>
      <c r="O54" s="27"/>
      <c r="P54" s="27"/>
      <c r="Q54" s="27"/>
      <c r="R54" s="27"/>
      <c r="S54" s="27"/>
      <c r="T54" s="27"/>
      <c r="U54" s="27"/>
      <c r="V54" s="27"/>
      <c r="W54" s="27"/>
      <c r="X54" s="27"/>
      <c r="Y54" s="27"/>
      <c r="Z54" s="28"/>
      <c r="AA54" s="37"/>
      <c r="AB54" s="29"/>
      <c r="AC54" s="30"/>
    </row>
    <row r="55" spans="1:29" s="31" customFormat="1" ht="15.6" x14ac:dyDescent="0.3">
      <c r="A55" s="167">
        <v>46069</v>
      </c>
      <c r="B55" s="22"/>
      <c r="C55" s="22" t="s">
        <v>254</v>
      </c>
      <c r="D55" s="34" t="s">
        <v>77</v>
      </c>
      <c r="E55" s="35">
        <v>400</v>
      </c>
      <c r="F55" s="25"/>
      <c r="G55" s="26"/>
      <c r="H55" s="27"/>
      <c r="I55" s="27"/>
      <c r="J55" s="27"/>
      <c r="K55" s="27"/>
      <c r="L55" s="27"/>
      <c r="M55" s="27"/>
      <c r="N55" s="27"/>
      <c r="O55" s="27"/>
      <c r="P55" s="27"/>
      <c r="Q55" s="27"/>
      <c r="R55" s="27"/>
      <c r="S55" s="27"/>
      <c r="T55" s="27"/>
      <c r="U55" s="27"/>
      <c r="V55" s="27"/>
      <c r="W55" s="27"/>
      <c r="X55" s="27"/>
      <c r="Y55" s="27"/>
      <c r="Z55" s="28"/>
      <c r="AA55" s="37"/>
      <c r="AB55" s="29"/>
      <c r="AC55" s="30"/>
    </row>
    <row r="56" spans="1:29" s="31" customFormat="1" ht="15.6" x14ac:dyDescent="0.3">
      <c r="A56" s="167">
        <v>46069</v>
      </c>
      <c r="B56" s="22"/>
      <c r="C56" s="22" t="s">
        <v>252</v>
      </c>
      <c r="D56" s="34" t="s">
        <v>77</v>
      </c>
      <c r="E56" s="35">
        <v>390</v>
      </c>
      <c r="F56" s="25"/>
      <c r="G56" s="26"/>
      <c r="H56" s="27"/>
      <c r="I56" s="27"/>
      <c r="J56" s="27"/>
      <c r="K56" s="27"/>
      <c r="L56" s="27"/>
      <c r="M56" s="27"/>
      <c r="N56" s="27"/>
      <c r="O56" s="27"/>
      <c r="P56" s="27"/>
      <c r="Q56" s="27"/>
      <c r="R56" s="27"/>
      <c r="S56" s="27"/>
      <c r="T56" s="27"/>
      <c r="U56" s="27"/>
      <c r="V56" s="27"/>
      <c r="W56" s="27"/>
      <c r="X56" s="27"/>
      <c r="Y56" s="27"/>
      <c r="Z56" s="28"/>
      <c r="AA56" s="37"/>
      <c r="AB56" s="29"/>
      <c r="AC56" s="30"/>
    </row>
    <row r="57" spans="1:29" s="31" customFormat="1" ht="15.6" x14ac:dyDescent="0.3">
      <c r="A57" s="167">
        <v>46070</v>
      </c>
      <c r="B57" s="22"/>
      <c r="C57" s="22" t="s">
        <v>74</v>
      </c>
      <c r="D57" s="34" t="s">
        <v>75</v>
      </c>
      <c r="E57" s="35">
        <v>4.25</v>
      </c>
      <c r="F57" s="25"/>
      <c r="G57" s="26"/>
      <c r="H57" s="27"/>
      <c r="I57" s="27"/>
      <c r="J57" s="27"/>
      <c r="K57" s="27"/>
      <c r="L57" s="27"/>
      <c r="M57" s="27"/>
      <c r="N57" s="27"/>
      <c r="O57" s="27"/>
      <c r="P57" s="27"/>
      <c r="Q57" s="27"/>
      <c r="R57" s="27"/>
      <c r="S57" s="27"/>
      <c r="T57" s="27"/>
      <c r="U57" s="27"/>
      <c r="V57" s="27"/>
      <c r="W57" s="27"/>
      <c r="X57" s="27"/>
      <c r="Y57" s="27"/>
      <c r="Z57" s="28"/>
      <c r="AA57" s="37"/>
      <c r="AB57" s="29"/>
      <c r="AC57" s="30"/>
    </row>
    <row r="58" spans="1:29" s="31" customFormat="1" ht="15.6" x14ac:dyDescent="0.3">
      <c r="A58" s="167">
        <v>46083</v>
      </c>
      <c r="B58" s="22"/>
      <c r="C58" s="22" t="s">
        <v>243</v>
      </c>
      <c r="D58" s="34" t="s">
        <v>75</v>
      </c>
      <c r="E58" s="35">
        <v>340.1</v>
      </c>
      <c r="F58" s="25"/>
      <c r="G58" s="26"/>
      <c r="H58" s="27"/>
      <c r="I58" s="27"/>
      <c r="J58" s="27"/>
      <c r="K58" s="27"/>
      <c r="L58" s="27"/>
      <c r="M58" s="27"/>
      <c r="N58" s="27"/>
      <c r="O58" s="27"/>
      <c r="P58" s="27"/>
      <c r="Q58" s="27"/>
      <c r="R58" s="27"/>
      <c r="S58" s="27"/>
      <c r="T58" s="27"/>
      <c r="U58" s="27"/>
      <c r="V58" s="27"/>
      <c r="W58" s="27"/>
      <c r="X58" s="27"/>
      <c r="Y58" s="27"/>
      <c r="Z58" s="28"/>
      <c r="AA58" s="37"/>
      <c r="AB58" s="29"/>
      <c r="AC58" s="30"/>
    </row>
    <row r="59" spans="1:29" s="31" customFormat="1" ht="15.6" x14ac:dyDescent="0.3">
      <c r="A59" s="167">
        <v>46083</v>
      </c>
      <c r="B59" s="22"/>
      <c r="C59" s="22" t="s">
        <v>261</v>
      </c>
      <c r="D59" s="34" t="s">
        <v>75</v>
      </c>
      <c r="E59" s="35">
        <v>439.54</v>
      </c>
      <c r="F59" s="25"/>
      <c r="G59" s="26"/>
      <c r="H59" s="27"/>
      <c r="I59" s="27"/>
      <c r="J59" s="27"/>
      <c r="K59" s="27"/>
      <c r="L59" s="27"/>
      <c r="M59" s="27"/>
      <c r="N59" s="27"/>
      <c r="O59" s="27"/>
      <c r="P59" s="27"/>
      <c r="Q59" s="27"/>
      <c r="R59" s="27"/>
      <c r="S59" s="27"/>
      <c r="T59" s="27"/>
      <c r="U59" s="27"/>
      <c r="V59" s="27"/>
      <c r="W59" s="27"/>
      <c r="X59" s="27"/>
      <c r="Y59" s="27"/>
      <c r="Z59" s="28"/>
      <c r="AA59" s="37"/>
      <c r="AB59" s="29"/>
      <c r="AC59" s="30"/>
    </row>
    <row r="60" spans="1:29" s="31" customFormat="1" ht="15.6" x14ac:dyDescent="0.3">
      <c r="A60" s="167">
        <v>46083</v>
      </c>
      <c r="B60" s="22"/>
      <c r="C60" s="22" t="s">
        <v>262</v>
      </c>
      <c r="D60" s="34" t="s">
        <v>75</v>
      </c>
      <c r="E60" s="35">
        <v>500</v>
      </c>
      <c r="F60" s="25"/>
      <c r="G60" s="26"/>
      <c r="H60" s="27"/>
      <c r="I60" s="27"/>
      <c r="J60" s="27"/>
      <c r="K60" s="27"/>
      <c r="L60" s="27"/>
      <c r="M60" s="27"/>
      <c r="N60" s="27"/>
      <c r="O60" s="27"/>
      <c r="P60" s="27"/>
      <c r="Q60" s="27"/>
      <c r="R60" s="27"/>
      <c r="S60" s="27"/>
      <c r="T60" s="27"/>
      <c r="U60" s="27"/>
      <c r="V60" s="27"/>
      <c r="W60" s="27"/>
      <c r="X60" s="27"/>
      <c r="Y60" s="27"/>
      <c r="Z60" s="28"/>
      <c r="AA60" s="37"/>
      <c r="AB60" s="29"/>
      <c r="AC60" s="30"/>
    </row>
    <row r="61" spans="1:29" s="31" customFormat="1" ht="15.6" x14ac:dyDescent="0.3">
      <c r="A61" s="167">
        <v>46083</v>
      </c>
      <c r="B61" s="22"/>
      <c r="C61" s="22" t="s">
        <v>87</v>
      </c>
      <c r="D61" s="34" t="s">
        <v>75</v>
      </c>
      <c r="E61" s="35">
        <v>240</v>
      </c>
      <c r="F61" s="25"/>
      <c r="G61" s="26"/>
      <c r="H61" s="27"/>
      <c r="I61" s="27"/>
      <c r="J61" s="27"/>
      <c r="K61" s="27"/>
      <c r="L61" s="27"/>
      <c r="M61" s="27"/>
      <c r="N61" s="27"/>
      <c r="O61" s="27"/>
      <c r="P61" s="27"/>
      <c r="Q61" s="27"/>
      <c r="R61" s="27"/>
      <c r="S61" s="27"/>
      <c r="T61" s="27"/>
      <c r="U61" s="27"/>
      <c r="V61" s="27"/>
      <c r="W61" s="27"/>
      <c r="X61" s="27"/>
      <c r="Y61" s="27"/>
      <c r="Z61" s="28"/>
      <c r="AA61" s="37"/>
      <c r="AB61" s="29"/>
      <c r="AC61" s="30"/>
    </row>
    <row r="62" spans="1:29" s="31" customFormat="1" ht="15.6" x14ac:dyDescent="0.3">
      <c r="A62" s="167">
        <v>46083</v>
      </c>
      <c r="B62" s="22"/>
      <c r="C62" s="22" t="s">
        <v>87</v>
      </c>
      <c r="D62" s="34" t="s">
        <v>75</v>
      </c>
      <c r="E62" s="35">
        <v>240</v>
      </c>
      <c r="F62" s="25"/>
      <c r="G62" s="26"/>
      <c r="H62" s="27"/>
      <c r="I62" s="27"/>
      <c r="J62" s="27"/>
      <c r="K62" s="27"/>
      <c r="L62" s="27"/>
      <c r="M62" s="27"/>
      <c r="N62" s="27"/>
      <c r="O62" s="27"/>
      <c r="P62" s="27"/>
      <c r="Q62" s="27"/>
      <c r="R62" s="27"/>
      <c r="S62" s="27"/>
      <c r="T62" s="27"/>
      <c r="U62" s="27"/>
      <c r="V62" s="27"/>
      <c r="W62" s="27"/>
      <c r="X62" s="27"/>
      <c r="Y62" s="27"/>
      <c r="Z62" s="28"/>
      <c r="AA62" s="37"/>
      <c r="AB62" s="29"/>
      <c r="AC62" s="30"/>
    </row>
    <row r="63" spans="1:29" s="31" customFormat="1" ht="15.6" x14ac:dyDescent="0.3">
      <c r="A63" s="167">
        <v>46087</v>
      </c>
      <c r="B63" s="22"/>
      <c r="C63" s="22" t="s">
        <v>87</v>
      </c>
      <c r="D63" s="34" t="s">
        <v>75</v>
      </c>
      <c r="E63" s="35">
        <v>272</v>
      </c>
      <c r="F63" s="25"/>
      <c r="G63" s="26"/>
      <c r="H63" s="27"/>
      <c r="I63" s="27"/>
      <c r="J63" s="27"/>
      <c r="K63" s="27"/>
      <c r="L63" s="27"/>
      <c r="M63" s="27"/>
      <c r="N63" s="27"/>
      <c r="O63" s="27"/>
      <c r="P63" s="27"/>
      <c r="Q63" s="27"/>
      <c r="R63" s="27"/>
      <c r="S63" s="27"/>
      <c r="T63" s="27"/>
      <c r="U63" s="27"/>
      <c r="V63" s="27"/>
      <c r="W63" s="27"/>
      <c r="X63" s="27"/>
      <c r="Y63" s="27"/>
      <c r="Z63" s="28"/>
      <c r="AA63" s="37"/>
      <c r="AB63" s="29"/>
      <c r="AC63" s="30"/>
    </row>
    <row r="64" spans="1:29" s="31" customFormat="1" ht="15.6" x14ac:dyDescent="0.3">
      <c r="A64" s="167">
        <v>46087</v>
      </c>
      <c r="B64" s="22"/>
      <c r="C64" s="22" t="s">
        <v>87</v>
      </c>
      <c r="D64" s="34" t="s">
        <v>75</v>
      </c>
      <c r="E64" s="35">
        <v>248</v>
      </c>
      <c r="F64" s="25"/>
      <c r="G64" s="26"/>
      <c r="H64" s="27"/>
      <c r="I64" s="27"/>
      <c r="J64" s="27"/>
      <c r="K64" s="27"/>
      <c r="L64" s="27"/>
      <c r="M64" s="27"/>
      <c r="N64" s="27"/>
      <c r="O64" s="27"/>
      <c r="P64" s="27"/>
      <c r="Q64" s="27"/>
      <c r="R64" s="27"/>
      <c r="S64" s="27"/>
      <c r="T64" s="27"/>
      <c r="U64" s="27"/>
      <c r="V64" s="27"/>
      <c r="W64" s="27"/>
      <c r="X64" s="27"/>
      <c r="Y64" s="27"/>
      <c r="Z64" s="28"/>
      <c r="AA64" s="37"/>
      <c r="AB64" s="29"/>
      <c r="AC64" s="30"/>
    </row>
    <row r="65" spans="1:29" s="31" customFormat="1" ht="15.6" x14ac:dyDescent="0.3">
      <c r="A65" s="167">
        <v>46087</v>
      </c>
      <c r="B65" s="22"/>
      <c r="C65" s="22" t="s">
        <v>87</v>
      </c>
      <c r="D65" s="34" t="s">
        <v>75</v>
      </c>
      <c r="E65" s="35">
        <v>280</v>
      </c>
      <c r="F65" s="25"/>
      <c r="G65" s="26"/>
      <c r="H65" s="27"/>
      <c r="I65" s="27"/>
      <c r="J65" s="27"/>
      <c r="K65" s="27"/>
      <c r="L65" s="27"/>
      <c r="M65" s="27"/>
      <c r="N65" s="27"/>
      <c r="O65" s="27"/>
      <c r="P65" s="27"/>
      <c r="Q65" s="27"/>
      <c r="R65" s="27"/>
      <c r="S65" s="27"/>
      <c r="T65" s="27"/>
      <c r="U65" s="27"/>
      <c r="V65" s="27"/>
      <c r="W65" s="27"/>
      <c r="X65" s="27"/>
      <c r="Y65" s="27"/>
      <c r="Z65" s="28"/>
      <c r="AA65" s="37"/>
      <c r="AB65" s="29"/>
      <c r="AC65" s="30"/>
    </row>
    <row r="66" spans="1:29" s="31" customFormat="1" ht="15.6" x14ac:dyDescent="0.3">
      <c r="A66" s="167">
        <v>46097</v>
      </c>
      <c r="B66" s="22"/>
      <c r="C66" s="22" t="s">
        <v>249</v>
      </c>
      <c r="D66" s="34" t="s">
        <v>75</v>
      </c>
      <c r="E66" s="35">
        <v>90</v>
      </c>
      <c r="F66" s="25"/>
      <c r="G66" s="26"/>
      <c r="H66" s="27"/>
      <c r="I66" s="27"/>
      <c r="J66" s="27"/>
      <c r="K66" s="27"/>
      <c r="L66" s="27"/>
      <c r="M66" s="27"/>
      <c r="N66" s="27"/>
      <c r="O66" s="27"/>
      <c r="P66" s="27"/>
      <c r="Q66" s="27"/>
      <c r="R66" s="27"/>
      <c r="S66" s="27"/>
      <c r="T66" s="27"/>
      <c r="U66" s="27"/>
      <c r="V66" s="27"/>
      <c r="W66" s="27"/>
      <c r="X66" s="27"/>
      <c r="Y66" s="27"/>
      <c r="Z66" s="28"/>
      <c r="AA66" s="37"/>
      <c r="AB66" s="29"/>
      <c r="AC66" s="30"/>
    </row>
    <row r="67" spans="1:29" s="31" customFormat="1" ht="15.6" x14ac:dyDescent="0.3">
      <c r="A67" s="167">
        <v>46098</v>
      </c>
      <c r="B67" s="22"/>
      <c r="C67" s="22" t="s">
        <v>74</v>
      </c>
      <c r="D67" s="34" t="s">
        <v>75</v>
      </c>
      <c r="E67" s="35">
        <v>4.25</v>
      </c>
      <c r="F67" s="25"/>
      <c r="G67" s="26"/>
      <c r="H67" s="27"/>
      <c r="I67" s="27"/>
      <c r="J67" s="27"/>
      <c r="K67" s="27"/>
      <c r="L67" s="27"/>
      <c r="M67" s="27"/>
      <c r="N67" s="27"/>
      <c r="O67" s="27"/>
      <c r="P67" s="27"/>
      <c r="Q67" s="27"/>
      <c r="R67" s="27"/>
      <c r="S67" s="27"/>
      <c r="T67" s="27"/>
      <c r="U67" s="27"/>
      <c r="V67" s="27"/>
      <c r="W67" s="27"/>
      <c r="X67" s="27"/>
      <c r="Y67" s="27"/>
      <c r="Z67" s="28"/>
      <c r="AA67" s="37"/>
      <c r="AB67" s="29"/>
      <c r="AC67" s="30"/>
    </row>
    <row r="68" spans="1:29" s="31" customFormat="1" ht="15.6" x14ac:dyDescent="0.3">
      <c r="A68" s="167">
        <v>46106</v>
      </c>
      <c r="B68" s="22"/>
      <c r="C68" s="22" t="s">
        <v>252</v>
      </c>
      <c r="D68" s="34" t="s">
        <v>75</v>
      </c>
      <c r="E68" s="35">
        <v>2065</v>
      </c>
      <c r="F68" s="25"/>
      <c r="G68" s="26"/>
      <c r="H68" s="27"/>
      <c r="I68" s="27"/>
      <c r="J68" s="27"/>
      <c r="K68" s="27"/>
      <c r="L68" s="27"/>
      <c r="M68" s="27"/>
      <c r="N68" s="27"/>
      <c r="O68" s="27"/>
      <c r="P68" s="27"/>
      <c r="Q68" s="27"/>
      <c r="R68" s="27"/>
      <c r="S68" s="27"/>
      <c r="T68" s="27"/>
      <c r="U68" s="27"/>
      <c r="V68" s="27"/>
      <c r="W68" s="27"/>
      <c r="X68" s="27"/>
      <c r="Y68" s="27"/>
      <c r="Z68" s="28"/>
      <c r="AA68" s="37"/>
      <c r="AB68" s="29"/>
      <c r="AC68" s="30"/>
    </row>
    <row r="69" spans="1:29" s="31" customFormat="1" ht="15.6" x14ac:dyDescent="0.3">
      <c r="A69" s="167">
        <v>46106</v>
      </c>
      <c r="B69" s="22"/>
      <c r="C69" s="22" t="s">
        <v>263</v>
      </c>
      <c r="D69" s="34" t="s">
        <v>75</v>
      </c>
      <c r="E69" s="35">
        <v>163.6</v>
      </c>
      <c r="F69" s="25"/>
      <c r="G69" s="26"/>
      <c r="H69" s="27"/>
      <c r="I69" s="27"/>
      <c r="J69" s="27"/>
      <c r="K69" s="27"/>
      <c r="L69" s="27"/>
      <c r="M69" s="27"/>
      <c r="N69" s="27"/>
      <c r="O69" s="27"/>
      <c r="P69" s="27"/>
      <c r="Q69" s="27"/>
      <c r="R69" s="27"/>
      <c r="S69" s="27"/>
      <c r="T69" s="27"/>
      <c r="U69" s="27"/>
      <c r="V69" s="27"/>
      <c r="W69" s="27"/>
      <c r="X69" s="27"/>
      <c r="Y69" s="27"/>
      <c r="Z69" s="28"/>
      <c r="AA69" s="37"/>
      <c r="AB69" s="29"/>
      <c r="AC69" s="30"/>
    </row>
    <row r="70" spans="1:29" s="31" customFormat="1" ht="15.6" x14ac:dyDescent="0.3">
      <c r="A70" s="167">
        <v>46107</v>
      </c>
      <c r="B70" s="22"/>
      <c r="C70" s="22" t="s">
        <v>263</v>
      </c>
      <c r="D70" s="34" t="s">
        <v>75</v>
      </c>
      <c r="E70" s="35">
        <v>265.35000000000002</v>
      </c>
      <c r="F70" s="25"/>
      <c r="G70" s="26"/>
      <c r="H70" s="27"/>
      <c r="I70" s="27"/>
      <c r="J70" s="27"/>
      <c r="K70" s="27"/>
      <c r="L70" s="27"/>
      <c r="M70" s="27"/>
      <c r="N70" s="27"/>
      <c r="O70" s="27"/>
      <c r="P70" s="27"/>
      <c r="Q70" s="27"/>
      <c r="R70" s="27"/>
      <c r="S70" s="27"/>
      <c r="T70" s="27"/>
      <c r="U70" s="27"/>
      <c r="V70" s="27"/>
      <c r="W70" s="27"/>
      <c r="X70" s="27"/>
      <c r="Y70" s="27"/>
      <c r="Z70" s="28"/>
      <c r="AA70" s="37"/>
      <c r="AB70" s="29"/>
      <c r="AC70" s="30"/>
    </row>
    <row r="71" spans="1:29" s="31" customFormat="1" ht="15.6" x14ac:dyDescent="0.3">
      <c r="A71" s="167"/>
      <c r="B71" s="22"/>
      <c r="C71" s="22"/>
      <c r="D71" s="34"/>
      <c r="E71" s="253">
        <f>SUM(E6:E70)</f>
        <v>18787.98</v>
      </c>
      <c r="F71" s="25"/>
      <c r="G71" s="26"/>
      <c r="H71" s="27"/>
      <c r="I71" s="27"/>
      <c r="J71" s="27"/>
      <c r="K71" s="27"/>
      <c r="L71" s="27"/>
      <c r="M71" s="27"/>
      <c r="N71" s="27"/>
      <c r="O71" s="27"/>
      <c r="P71" s="27"/>
      <c r="Q71" s="27"/>
      <c r="R71" s="27"/>
      <c r="S71" s="27"/>
      <c r="T71" s="27"/>
      <c r="U71" s="27"/>
      <c r="V71" s="27"/>
      <c r="W71" s="27"/>
      <c r="X71" s="27"/>
      <c r="Y71" s="27"/>
      <c r="Z71" s="28"/>
      <c r="AA71" s="37"/>
      <c r="AB71" s="29"/>
      <c r="AC71" s="30"/>
    </row>
    <row r="72" spans="1:29" s="31" customFormat="1" ht="15.6" x14ac:dyDescent="0.3">
      <c r="A72" s="167"/>
      <c r="B72" s="22"/>
      <c r="C72" s="22"/>
      <c r="D72" s="34"/>
      <c r="E72" s="35"/>
      <c r="F72" s="25"/>
      <c r="G72" s="26"/>
      <c r="H72" s="27"/>
      <c r="I72" s="27"/>
      <c r="J72" s="27"/>
      <c r="K72" s="27"/>
      <c r="L72" s="27"/>
      <c r="M72" s="27"/>
      <c r="N72" s="27"/>
      <c r="O72" s="27"/>
      <c r="P72" s="27"/>
      <c r="Q72" s="27"/>
      <c r="R72" s="27"/>
      <c r="S72" s="27"/>
      <c r="T72" s="27"/>
      <c r="U72" s="27"/>
      <c r="V72" s="27"/>
      <c r="W72" s="27"/>
      <c r="X72" s="27"/>
      <c r="Y72" s="27"/>
      <c r="Z72" s="28"/>
      <c r="AA72" s="37"/>
      <c r="AB72" s="29"/>
      <c r="AC72" s="30"/>
    </row>
    <row r="73" spans="1:29" s="31" customFormat="1" ht="15.6" x14ac:dyDescent="0.3">
      <c r="A73" s="167"/>
      <c r="B73" s="22"/>
      <c r="C73" s="22"/>
      <c r="D73" s="34"/>
      <c r="E73" s="35"/>
      <c r="F73" s="25"/>
      <c r="G73" s="26"/>
      <c r="H73" s="27"/>
      <c r="I73" s="27"/>
      <c r="J73" s="27"/>
      <c r="K73" s="27"/>
      <c r="L73" s="27"/>
      <c r="M73" s="27"/>
      <c r="N73" s="27"/>
      <c r="O73" s="27"/>
      <c r="P73" s="27"/>
      <c r="Q73" s="27"/>
      <c r="R73" s="27"/>
      <c r="S73" s="27"/>
      <c r="T73" s="27"/>
      <c r="U73" s="27"/>
      <c r="V73" s="27"/>
      <c r="W73" s="27"/>
      <c r="X73" s="27"/>
      <c r="Y73" s="27"/>
      <c r="Z73" s="28"/>
      <c r="AA73" s="37"/>
      <c r="AB73" s="29"/>
      <c r="AC73" s="30"/>
    </row>
    <row r="74" spans="1:29" s="31" customFormat="1" ht="15.6" x14ac:dyDescent="0.3">
      <c r="A74" s="167"/>
      <c r="B74" s="22"/>
      <c r="C74" s="39"/>
      <c r="D74" s="34"/>
      <c r="E74" s="35"/>
      <c r="F74" s="25"/>
      <c r="G74" s="26"/>
      <c r="H74" s="27"/>
      <c r="I74" s="27"/>
      <c r="J74" s="27"/>
      <c r="K74" s="27"/>
      <c r="L74" s="27"/>
      <c r="M74" s="27"/>
      <c r="N74" s="27"/>
      <c r="O74" s="27"/>
      <c r="P74" s="27"/>
      <c r="Q74" s="27"/>
      <c r="R74" s="27"/>
      <c r="S74" s="27"/>
      <c r="T74" s="27"/>
      <c r="U74" s="27"/>
      <c r="V74" s="27"/>
      <c r="W74" s="27"/>
      <c r="X74" s="27"/>
      <c r="Y74" s="27"/>
      <c r="Z74" s="28"/>
      <c r="AA74" s="37"/>
      <c r="AB74" s="29"/>
      <c r="AC74" s="40"/>
    </row>
    <row r="75" spans="1:29" s="31" customFormat="1" ht="15.6" x14ac:dyDescent="0.3">
      <c r="A75" s="167"/>
      <c r="B75" s="22"/>
      <c r="C75" s="22"/>
      <c r="D75" s="34"/>
      <c r="E75" s="35"/>
      <c r="F75" s="25"/>
      <c r="G75" s="26"/>
      <c r="H75" s="27"/>
      <c r="I75" s="27"/>
      <c r="J75" s="27"/>
      <c r="K75" s="27"/>
      <c r="L75" s="27"/>
      <c r="M75" s="27"/>
      <c r="N75" s="27"/>
      <c r="O75" s="27"/>
      <c r="P75" s="27"/>
      <c r="Q75" s="27"/>
      <c r="R75" s="27"/>
      <c r="S75" s="27"/>
      <c r="T75" s="27"/>
      <c r="U75" s="27"/>
      <c r="V75" s="27"/>
      <c r="W75" s="27"/>
      <c r="X75" s="27"/>
      <c r="Y75" s="27"/>
      <c r="Z75" s="28"/>
      <c r="AA75" s="37"/>
      <c r="AB75" s="29"/>
      <c r="AC75" s="30"/>
    </row>
    <row r="76" spans="1:29" s="31" customFormat="1" ht="15.6" x14ac:dyDescent="0.3">
      <c r="A76" s="167"/>
      <c r="B76" s="22"/>
      <c r="C76" s="22"/>
      <c r="D76" s="34"/>
      <c r="E76" s="35"/>
      <c r="F76" s="25"/>
      <c r="G76" s="26"/>
      <c r="H76" s="27"/>
      <c r="I76" s="27"/>
      <c r="J76" s="27"/>
      <c r="K76" s="27"/>
      <c r="L76" s="27"/>
      <c r="M76" s="27"/>
      <c r="N76" s="27"/>
      <c r="O76" s="27"/>
      <c r="P76" s="27"/>
      <c r="Q76" s="27"/>
      <c r="R76" s="27"/>
      <c r="S76" s="27"/>
      <c r="T76" s="27"/>
      <c r="U76" s="27"/>
      <c r="V76" s="27"/>
      <c r="W76" s="27"/>
      <c r="X76" s="27"/>
      <c r="Y76" s="27"/>
      <c r="Z76" s="28"/>
      <c r="AA76" s="37"/>
      <c r="AB76" s="29"/>
      <c r="AC76" s="30"/>
    </row>
    <row r="77" spans="1:29" s="31" customFormat="1" ht="15.6" x14ac:dyDescent="0.3">
      <c r="A77" s="167"/>
      <c r="B77" s="22"/>
      <c r="C77" s="39"/>
      <c r="D77" s="34"/>
      <c r="E77" s="35"/>
      <c r="F77" s="25"/>
      <c r="G77" s="26"/>
      <c r="H77" s="27"/>
      <c r="I77" s="27"/>
      <c r="J77" s="27"/>
      <c r="K77" s="27"/>
      <c r="L77" s="27"/>
      <c r="M77" s="27"/>
      <c r="N77" s="27"/>
      <c r="O77" s="27"/>
      <c r="P77" s="27"/>
      <c r="Q77" s="27"/>
      <c r="R77" s="27"/>
      <c r="S77" s="27"/>
      <c r="T77" s="27"/>
      <c r="U77" s="27"/>
      <c r="V77" s="27"/>
      <c r="W77" s="27"/>
      <c r="X77" s="27"/>
      <c r="Y77" s="27"/>
      <c r="Z77" s="28"/>
      <c r="AA77" s="37"/>
      <c r="AB77" s="29"/>
      <c r="AC77" s="30"/>
    </row>
    <row r="78" spans="1:29" s="31" customFormat="1" ht="15.6" x14ac:dyDescent="0.3">
      <c r="A78" s="167"/>
      <c r="B78" s="22"/>
      <c r="C78" s="22"/>
      <c r="D78" s="34"/>
      <c r="E78" s="35"/>
      <c r="F78" s="25"/>
      <c r="G78" s="26"/>
      <c r="H78" s="27"/>
      <c r="I78" s="27"/>
      <c r="J78" s="27"/>
      <c r="K78" s="27"/>
      <c r="L78" s="27"/>
      <c r="M78" s="27"/>
      <c r="N78" s="27"/>
      <c r="O78" s="27"/>
      <c r="P78" s="27"/>
      <c r="Q78" s="27"/>
      <c r="R78" s="27"/>
      <c r="S78" s="27"/>
      <c r="T78" s="27"/>
      <c r="U78" s="27"/>
      <c r="V78" s="27"/>
      <c r="W78" s="27"/>
      <c r="X78" s="27"/>
      <c r="Y78" s="27"/>
      <c r="Z78" s="28"/>
      <c r="AA78" s="37"/>
      <c r="AB78" s="29"/>
      <c r="AC78" s="30"/>
    </row>
    <row r="79" spans="1:29" s="31" customFormat="1" ht="15.6" x14ac:dyDescent="0.3">
      <c r="A79" s="167"/>
      <c r="B79" s="22"/>
      <c r="C79" s="22"/>
      <c r="D79" s="34"/>
      <c r="E79" s="35"/>
      <c r="F79" s="25"/>
      <c r="G79" s="26"/>
      <c r="H79" s="27"/>
      <c r="I79" s="27"/>
      <c r="J79" s="27"/>
      <c r="K79" s="27"/>
      <c r="L79" s="27"/>
      <c r="M79" s="27"/>
      <c r="N79" s="27"/>
      <c r="O79" s="27"/>
      <c r="P79" s="27"/>
      <c r="Q79" s="27"/>
      <c r="R79" s="27"/>
      <c r="S79" s="27"/>
      <c r="T79" s="27"/>
      <c r="U79" s="27"/>
      <c r="V79" s="27"/>
      <c r="W79" s="27"/>
      <c r="X79" s="27"/>
      <c r="Y79" s="27"/>
      <c r="Z79" s="28"/>
      <c r="AA79" s="37"/>
      <c r="AB79" s="29"/>
      <c r="AC79" s="30"/>
    </row>
    <row r="80" spans="1:29" s="31" customFormat="1" ht="15.6" x14ac:dyDescent="0.3">
      <c r="A80" s="167"/>
      <c r="B80" s="22"/>
      <c r="C80" s="22"/>
      <c r="D80" s="34"/>
      <c r="E80" s="35"/>
      <c r="F80" s="25"/>
      <c r="G80" s="26"/>
      <c r="H80" s="27"/>
      <c r="I80" s="27"/>
      <c r="J80" s="27"/>
      <c r="K80" s="27"/>
      <c r="L80" s="27"/>
      <c r="M80" s="27"/>
      <c r="N80" s="27"/>
      <c r="O80" s="27"/>
      <c r="P80" s="27"/>
      <c r="Q80" s="27"/>
      <c r="R80" s="27"/>
      <c r="S80" s="27"/>
      <c r="T80" s="27"/>
      <c r="U80" s="27"/>
      <c r="V80" s="27"/>
      <c r="W80" s="27"/>
      <c r="X80" s="27"/>
      <c r="Y80" s="27"/>
      <c r="Z80" s="28"/>
      <c r="AA80" s="37"/>
      <c r="AB80" s="29"/>
      <c r="AC80" s="30"/>
    </row>
    <row r="81" spans="1:29" s="31" customFormat="1" ht="15.6" x14ac:dyDescent="0.3">
      <c r="A81" s="167"/>
      <c r="B81" s="22"/>
      <c r="C81" s="22"/>
      <c r="D81" s="34"/>
      <c r="E81" s="35"/>
      <c r="F81" s="25"/>
      <c r="G81" s="26"/>
      <c r="H81" s="27"/>
      <c r="I81" s="27"/>
      <c r="J81" s="27"/>
      <c r="K81" s="27"/>
      <c r="L81" s="27"/>
      <c r="M81" s="27"/>
      <c r="N81" s="27"/>
      <c r="O81" s="27"/>
      <c r="P81" s="27"/>
      <c r="Q81" s="27"/>
      <c r="R81" s="27"/>
      <c r="S81" s="27"/>
      <c r="T81" s="27"/>
      <c r="U81" s="27"/>
      <c r="V81" s="27"/>
      <c r="W81" s="27"/>
      <c r="X81" s="27"/>
      <c r="Y81" s="27"/>
      <c r="Z81" s="28"/>
      <c r="AA81" s="37"/>
      <c r="AB81" s="29"/>
      <c r="AC81" s="30"/>
    </row>
    <row r="82" spans="1:29" s="31" customFormat="1" ht="15.6" x14ac:dyDescent="0.3">
      <c r="A82" s="167"/>
      <c r="B82" s="22"/>
      <c r="C82" s="22"/>
      <c r="D82" s="34"/>
      <c r="E82" s="35"/>
      <c r="F82" s="25"/>
      <c r="G82" s="26"/>
      <c r="H82" s="27"/>
      <c r="I82" s="27"/>
      <c r="J82" s="27"/>
      <c r="K82" s="27"/>
      <c r="L82" s="27"/>
      <c r="M82" s="27"/>
      <c r="N82" s="27"/>
      <c r="O82" s="27"/>
      <c r="P82" s="27"/>
      <c r="Q82" s="27"/>
      <c r="R82" s="27"/>
      <c r="S82" s="27"/>
      <c r="T82" s="27"/>
      <c r="U82" s="27"/>
      <c r="V82" s="27"/>
      <c r="W82" s="27"/>
      <c r="X82" s="27"/>
      <c r="Y82" s="27"/>
      <c r="Z82" s="28"/>
      <c r="AA82" s="37"/>
      <c r="AB82" s="29"/>
      <c r="AC82" s="30"/>
    </row>
    <row r="83" spans="1:29" s="31" customFormat="1" ht="15.6" x14ac:dyDescent="0.3">
      <c r="A83" s="167"/>
      <c r="B83" s="22"/>
      <c r="C83" s="22"/>
      <c r="D83" s="34"/>
      <c r="E83" s="35"/>
      <c r="F83" s="25"/>
      <c r="G83" s="26"/>
      <c r="H83" s="27"/>
      <c r="I83" s="27"/>
      <c r="J83" s="27"/>
      <c r="K83" s="27"/>
      <c r="L83" s="27"/>
      <c r="M83" s="27"/>
      <c r="N83" s="27"/>
      <c r="O83" s="27"/>
      <c r="P83" s="27"/>
      <c r="Q83" s="27"/>
      <c r="R83" s="27"/>
      <c r="S83" s="27"/>
      <c r="T83" s="27"/>
      <c r="U83" s="27"/>
      <c r="V83" s="27"/>
      <c r="W83" s="27"/>
      <c r="X83" s="27"/>
      <c r="Y83" s="27"/>
      <c r="Z83" s="28"/>
      <c r="AA83" s="37"/>
      <c r="AB83" s="29"/>
      <c r="AC83" s="30"/>
    </row>
    <row r="84" spans="1:29" s="31" customFormat="1" ht="15.6" x14ac:dyDescent="0.3">
      <c r="A84" s="167"/>
      <c r="B84" s="22"/>
      <c r="C84" s="22"/>
      <c r="D84" s="34"/>
      <c r="E84" s="35"/>
      <c r="F84" s="25"/>
      <c r="G84" s="26"/>
      <c r="H84" s="27"/>
      <c r="I84" s="27"/>
      <c r="J84" s="27"/>
      <c r="K84" s="27"/>
      <c r="L84" s="27"/>
      <c r="M84" s="27"/>
      <c r="N84" s="27"/>
      <c r="O84" s="27"/>
      <c r="P84" s="27"/>
      <c r="Q84" s="27"/>
      <c r="R84" s="27"/>
      <c r="S84" s="27"/>
      <c r="T84" s="27"/>
      <c r="U84" s="27"/>
      <c r="V84" s="27"/>
      <c r="W84" s="27"/>
      <c r="X84" s="27"/>
      <c r="Y84" s="27"/>
      <c r="Z84" s="28"/>
      <c r="AA84" s="37"/>
      <c r="AB84" s="29"/>
      <c r="AC84" s="30"/>
    </row>
    <row r="85" spans="1:29" s="31" customFormat="1" ht="15.6" x14ac:dyDescent="0.3">
      <c r="A85" s="167"/>
      <c r="B85" s="22"/>
      <c r="C85" s="22"/>
      <c r="D85" s="34"/>
      <c r="E85" s="35"/>
      <c r="F85" s="25"/>
      <c r="G85" s="26"/>
      <c r="H85" s="27"/>
      <c r="I85" s="27"/>
      <c r="J85" s="27"/>
      <c r="K85" s="27"/>
      <c r="L85" s="27"/>
      <c r="M85" s="27"/>
      <c r="N85" s="27"/>
      <c r="O85" s="27"/>
      <c r="P85" s="27"/>
      <c r="Q85" s="27"/>
      <c r="R85" s="27"/>
      <c r="S85" s="27"/>
      <c r="T85" s="27"/>
      <c r="U85" s="27"/>
      <c r="V85" s="27"/>
      <c r="W85" s="27"/>
      <c r="X85" s="27"/>
      <c r="Y85" s="27"/>
      <c r="Z85" s="28"/>
      <c r="AA85" s="37"/>
      <c r="AB85" s="29"/>
      <c r="AC85" s="30"/>
    </row>
    <row r="86" spans="1:29" s="31" customFormat="1" ht="15.6" x14ac:dyDescent="0.3">
      <c r="A86" s="167"/>
      <c r="B86" s="22"/>
      <c r="C86" s="22"/>
      <c r="D86" s="34"/>
      <c r="E86" s="35"/>
      <c r="F86" s="25"/>
      <c r="G86" s="26"/>
      <c r="H86" s="27"/>
      <c r="I86" s="27"/>
      <c r="J86" s="27"/>
      <c r="K86" s="27"/>
      <c r="L86" s="27"/>
      <c r="M86" s="27"/>
      <c r="N86" s="27"/>
      <c r="O86" s="27"/>
      <c r="P86" s="27"/>
      <c r="Q86" s="27"/>
      <c r="R86" s="27"/>
      <c r="S86" s="27"/>
      <c r="T86" s="27"/>
      <c r="U86" s="27"/>
      <c r="V86" s="27"/>
      <c r="W86" s="27"/>
      <c r="X86" s="27"/>
      <c r="Y86" s="27"/>
      <c r="Z86" s="28"/>
      <c r="AA86" s="37"/>
      <c r="AB86" s="29"/>
      <c r="AC86" s="30"/>
    </row>
    <row r="87" spans="1:29" s="31" customFormat="1" ht="15.6" x14ac:dyDescent="0.3">
      <c r="A87" s="167"/>
      <c r="B87" s="22"/>
      <c r="C87" s="22"/>
      <c r="D87" s="34"/>
      <c r="E87" s="35"/>
      <c r="F87" s="25"/>
      <c r="G87" s="26"/>
      <c r="H87" s="27"/>
      <c r="I87" s="27"/>
      <c r="J87" s="27"/>
      <c r="K87" s="27"/>
      <c r="L87" s="27"/>
      <c r="M87" s="27"/>
      <c r="N87" s="27"/>
      <c r="O87" s="27"/>
      <c r="P87" s="27"/>
      <c r="Q87" s="27"/>
      <c r="R87" s="27"/>
      <c r="S87" s="27"/>
      <c r="T87" s="27"/>
      <c r="U87" s="27"/>
      <c r="V87" s="27"/>
      <c r="W87" s="27"/>
      <c r="X87" s="27"/>
      <c r="Y87" s="27"/>
      <c r="Z87" s="28"/>
      <c r="AA87" s="37"/>
      <c r="AB87" s="29"/>
      <c r="AC87" s="30"/>
    </row>
    <row r="88" spans="1:29" s="31" customFormat="1" ht="15.6" x14ac:dyDescent="0.3">
      <c r="A88" s="167"/>
      <c r="B88" s="22"/>
      <c r="C88" s="22"/>
      <c r="D88" s="34"/>
      <c r="E88" s="35"/>
      <c r="F88" s="25"/>
      <c r="G88" s="26"/>
      <c r="H88" s="27"/>
      <c r="I88" s="27"/>
      <c r="J88" s="27"/>
      <c r="K88" s="27"/>
      <c r="L88" s="27"/>
      <c r="M88" s="27"/>
      <c r="N88" s="27"/>
      <c r="O88" s="27"/>
      <c r="P88" s="27"/>
      <c r="Q88" s="27"/>
      <c r="R88" s="27"/>
      <c r="S88" s="27"/>
      <c r="T88" s="27"/>
      <c r="U88" s="27"/>
      <c r="V88" s="27"/>
      <c r="W88" s="27"/>
      <c r="X88" s="27"/>
      <c r="Y88" s="27"/>
      <c r="Z88" s="28"/>
      <c r="AA88" s="37"/>
      <c r="AB88" s="29"/>
      <c r="AC88" s="30"/>
    </row>
    <row r="89" spans="1:29" s="31" customFormat="1" ht="15.6" x14ac:dyDescent="0.3">
      <c r="A89" s="167"/>
      <c r="B89" s="22"/>
      <c r="C89" s="22"/>
      <c r="D89" s="34"/>
      <c r="E89" s="35"/>
      <c r="F89" s="25"/>
      <c r="G89" s="26"/>
      <c r="H89" s="27"/>
      <c r="I89" s="27"/>
      <c r="J89" s="27"/>
      <c r="K89" s="27"/>
      <c r="L89" s="27"/>
      <c r="M89" s="27"/>
      <c r="N89" s="27"/>
      <c r="O89" s="27"/>
      <c r="P89" s="27"/>
      <c r="Q89" s="27"/>
      <c r="R89" s="27"/>
      <c r="S89" s="27"/>
      <c r="T89" s="27"/>
      <c r="U89" s="27"/>
      <c r="V89" s="27"/>
      <c r="W89" s="27"/>
      <c r="X89" s="27"/>
      <c r="Y89" s="27"/>
      <c r="Z89" s="28"/>
      <c r="AA89" s="37"/>
      <c r="AB89" s="29"/>
      <c r="AC89" s="30"/>
    </row>
    <row r="90" spans="1:29" s="31" customFormat="1" ht="15.6" x14ac:dyDescent="0.3">
      <c r="A90" s="167"/>
      <c r="B90" s="22"/>
      <c r="C90" s="22"/>
      <c r="D90" s="34"/>
      <c r="E90" s="35"/>
      <c r="F90" s="25"/>
      <c r="G90" s="26"/>
      <c r="H90" s="27"/>
      <c r="I90" s="27"/>
      <c r="J90" s="27"/>
      <c r="K90" s="27"/>
      <c r="L90" s="27"/>
      <c r="M90" s="27"/>
      <c r="N90" s="27"/>
      <c r="O90" s="27"/>
      <c r="P90" s="27"/>
      <c r="Q90" s="27"/>
      <c r="R90" s="27"/>
      <c r="S90" s="27"/>
      <c r="T90" s="27"/>
      <c r="U90" s="27"/>
      <c r="V90" s="27"/>
      <c r="W90" s="27"/>
      <c r="X90" s="27"/>
      <c r="Y90" s="27"/>
      <c r="Z90" s="28"/>
      <c r="AA90" s="37"/>
      <c r="AB90" s="29"/>
      <c r="AC90" s="30"/>
    </row>
    <row r="91" spans="1:29" s="31" customFormat="1" ht="15.6" x14ac:dyDescent="0.3">
      <c r="A91" s="167"/>
      <c r="B91" s="22"/>
      <c r="C91" s="22"/>
      <c r="D91" s="34"/>
      <c r="E91" s="35"/>
      <c r="F91" s="25"/>
      <c r="G91" s="26"/>
      <c r="H91" s="27"/>
      <c r="I91" s="27"/>
      <c r="J91" s="27"/>
      <c r="K91" s="27"/>
      <c r="L91" s="27"/>
      <c r="M91" s="27"/>
      <c r="N91" s="27"/>
      <c r="O91" s="27"/>
      <c r="P91" s="27"/>
      <c r="Q91" s="27"/>
      <c r="R91" s="27"/>
      <c r="S91" s="27"/>
      <c r="T91" s="27"/>
      <c r="U91" s="27"/>
      <c r="V91" s="27"/>
      <c r="W91" s="27"/>
      <c r="X91" s="27"/>
      <c r="Y91" s="27"/>
      <c r="Z91" s="28"/>
      <c r="AA91" s="37"/>
      <c r="AB91" s="29"/>
      <c r="AC91" s="30"/>
    </row>
    <row r="92" spans="1:29" s="31" customFormat="1" ht="15.6" x14ac:dyDescent="0.3">
      <c r="A92" s="167"/>
      <c r="B92" s="22"/>
      <c r="C92" s="22"/>
      <c r="D92" s="34"/>
      <c r="E92" s="35"/>
      <c r="F92" s="25"/>
      <c r="G92" s="26"/>
      <c r="H92" s="27"/>
      <c r="I92" s="27"/>
      <c r="J92" s="27"/>
      <c r="K92" s="27"/>
      <c r="L92" s="27"/>
      <c r="M92" s="27"/>
      <c r="N92" s="27"/>
      <c r="O92" s="27"/>
      <c r="P92" s="27"/>
      <c r="Q92" s="27"/>
      <c r="R92" s="27"/>
      <c r="S92" s="27"/>
      <c r="T92" s="27"/>
      <c r="U92" s="27"/>
      <c r="V92" s="27"/>
      <c r="W92" s="27"/>
      <c r="X92" s="27"/>
      <c r="Y92" s="27"/>
      <c r="Z92" s="28"/>
      <c r="AA92" s="37"/>
      <c r="AB92" s="29"/>
      <c r="AC92" s="30"/>
    </row>
    <row r="93" spans="1:29" s="31" customFormat="1" ht="15.6" x14ac:dyDescent="0.3">
      <c r="A93" s="167"/>
      <c r="B93" s="22"/>
      <c r="C93" s="22"/>
      <c r="D93" s="34"/>
      <c r="E93" s="35"/>
      <c r="F93" s="25"/>
      <c r="G93" s="26"/>
      <c r="H93" s="27"/>
      <c r="I93" s="27"/>
      <c r="J93" s="27"/>
      <c r="K93" s="27"/>
      <c r="L93" s="27"/>
      <c r="M93" s="27"/>
      <c r="N93" s="27"/>
      <c r="O93" s="27"/>
      <c r="P93" s="27"/>
      <c r="Q93" s="27"/>
      <c r="R93" s="27"/>
      <c r="S93" s="27"/>
      <c r="T93" s="27"/>
      <c r="U93" s="27"/>
      <c r="V93" s="27"/>
      <c r="W93" s="27"/>
      <c r="X93" s="27"/>
      <c r="Y93" s="27"/>
      <c r="Z93" s="28"/>
      <c r="AA93" s="37"/>
      <c r="AB93" s="29"/>
      <c r="AC93" s="30"/>
    </row>
    <row r="94" spans="1:29" s="31" customFormat="1" ht="15.6" x14ac:dyDescent="0.3">
      <c r="A94" s="167"/>
      <c r="B94" s="22"/>
      <c r="C94" s="22"/>
      <c r="D94" s="34"/>
      <c r="E94" s="35"/>
      <c r="F94" s="25"/>
      <c r="G94" s="26"/>
      <c r="H94" s="27"/>
      <c r="I94" s="27"/>
      <c r="J94" s="27"/>
      <c r="K94" s="27"/>
      <c r="L94" s="27"/>
      <c r="M94" s="27"/>
      <c r="N94" s="27"/>
      <c r="O94" s="27"/>
      <c r="P94" s="27"/>
      <c r="Q94" s="27"/>
      <c r="R94" s="27"/>
      <c r="S94" s="27"/>
      <c r="T94" s="27"/>
      <c r="U94" s="27"/>
      <c r="V94" s="27"/>
      <c r="W94" s="27"/>
      <c r="X94" s="27"/>
      <c r="Y94" s="27"/>
      <c r="Z94" s="28"/>
      <c r="AA94" s="37"/>
      <c r="AB94" s="29"/>
      <c r="AC94" s="30"/>
    </row>
    <row r="95" spans="1:29" s="31" customFormat="1" ht="15.6" x14ac:dyDescent="0.3">
      <c r="A95" s="167"/>
      <c r="B95" s="22"/>
      <c r="C95" s="22"/>
      <c r="D95" s="34"/>
      <c r="E95" s="35"/>
      <c r="F95" s="25"/>
      <c r="G95" s="26"/>
      <c r="H95" s="27"/>
      <c r="I95" s="27"/>
      <c r="J95" s="27"/>
      <c r="K95" s="27"/>
      <c r="L95" s="27"/>
      <c r="M95" s="27"/>
      <c r="N95" s="27"/>
      <c r="O95" s="27"/>
      <c r="P95" s="27"/>
      <c r="Q95" s="27"/>
      <c r="R95" s="27"/>
      <c r="S95" s="27"/>
      <c r="T95" s="27"/>
      <c r="U95" s="27"/>
      <c r="V95" s="27"/>
      <c r="W95" s="27"/>
      <c r="X95" s="27"/>
      <c r="Y95" s="27"/>
      <c r="Z95" s="28"/>
      <c r="AA95" s="37"/>
      <c r="AB95" s="29"/>
      <c r="AC95" s="30"/>
    </row>
    <row r="96" spans="1:29" s="31" customFormat="1" ht="15.6" x14ac:dyDescent="0.3">
      <c r="A96" s="167"/>
      <c r="B96" s="22"/>
      <c r="C96" s="22"/>
      <c r="D96" s="34"/>
      <c r="E96" s="35"/>
      <c r="F96" s="25"/>
      <c r="G96" s="26"/>
      <c r="H96" s="27"/>
      <c r="I96" s="27"/>
      <c r="J96" s="27"/>
      <c r="K96" s="27"/>
      <c r="L96" s="27"/>
      <c r="M96" s="27"/>
      <c r="N96" s="27"/>
      <c r="O96" s="27"/>
      <c r="P96" s="27"/>
      <c r="Q96" s="27"/>
      <c r="R96" s="27"/>
      <c r="S96" s="27"/>
      <c r="T96" s="27"/>
      <c r="U96" s="27"/>
      <c r="V96" s="27"/>
      <c r="W96" s="27"/>
      <c r="X96" s="27"/>
      <c r="Y96" s="27"/>
      <c r="Z96" s="28"/>
      <c r="AA96" s="37"/>
      <c r="AB96" s="29"/>
      <c r="AC96" s="30"/>
    </row>
    <row r="97" spans="1:30" s="31" customFormat="1" ht="15.6" x14ac:dyDescent="0.3">
      <c r="A97" s="167"/>
      <c r="B97" s="22"/>
      <c r="C97" s="22"/>
      <c r="D97" s="34"/>
      <c r="E97" s="35"/>
      <c r="F97" s="25"/>
      <c r="G97" s="26"/>
      <c r="H97" s="27"/>
      <c r="I97" s="27"/>
      <c r="J97" s="27"/>
      <c r="K97" s="27"/>
      <c r="L97" s="27"/>
      <c r="M97" s="27"/>
      <c r="N97" s="27"/>
      <c r="O97" s="27"/>
      <c r="P97" s="27"/>
      <c r="Q97" s="27"/>
      <c r="R97" s="27"/>
      <c r="S97" s="27"/>
      <c r="T97" s="27"/>
      <c r="U97" s="27"/>
      <c r="V97" s="27"/>
      <c r="W97" s="27"/>
      <c r="X97" s="27"/>
      <c r="Y97" s="27"/>
      <c r="Z97" s="28"/>
      <c r="AA97" s="37"/>
      <c r="AB97" s="29"/>
      <c r="AC97" s="30"/>
    </row>
    <row r="98" spans="1:30" s="31" customFormat="1" ht="15.6" x14ac:dyDescent="0.3">
      <c r="A98" s="167"/>
      <c r="B98" s="22"/>
      <c r="C98" s="22"/>
      <c r="D98" s="34"/>
      <c r="E98" s="35"/>
      <c r="F98" s="25"/>
      <c r="G98" s="26"/>
      <c r="H98" s="27"/>
      <c r="I98" s="27"/>
      <c r="J98" s="27"/>
      <c r="K98" s="27"/>
      <c r="L98" s="27"/>
      <c r="M98" s="27"/>
      <c r="N98" s="27"/>
      <c r="O98" s="27"/>
      <c r="P98" s="27"/>
      <c r="Q98" s="27"/>
      <c r="R98" s="27"/>
      <c r="S98" s="27"/>
      <c r="T98" s="27"/>
      <c r="U98" s="27"/>
      <c r="V98" s="27"/>
      <c r="W98" s="27"/>
      <c r="X98" s="27"/>
      <c r="Y98" s="27"/>
      <c r="Z98" s="28"/>
      <c r="AA98" s="37"/>
      <c r="AB98" s="29"/>
      <c r="AC98" s="30"/>
    </row>
    <row r="99" spans="1:30" s="31" customFormat="1" ht="15.6" x14ac:dyDescent="0.3">
      <c r="A99" s="167"/>
      <c r="B99" s="22"/>
      <c r="C99" s="39"/>
      <c r="D99" s="34"/>
      <c r="E99" s="35"/>
      <c r="F99" s="25"/>
      <c r="G99" s="26"/>
      <c r="H99" s="27"/>
      <c r="I99" s="27"/>
      <c r="J99" s="27"/>
      <c r="K99" s="27"/>
      <c r="L99" s="27"/>
      <c r="M99" s="27"/>
      <c r="N99" s="27"/>
      <c r="O99" s="27"/>
      <c r="P99" s="27"/>
      <c r="Q99" s="27"/>
      <c r="R99" s="27"/>
      <c r="S99" s="27"/>
      <c r="T99" s="27"/>
      <c r="U99" s="27"/>
      <c r="V99" s="27"/>
      <c r="W99" s="27"/>
      <c r="X99" s="27"/>
      <c r="Y99" s="27"/>
      <c r="Z99" s="28"/>
      <c r="AA99" s="37"/>
      <c r="AB99" s="29"/>
      <c r="AC99" s="30"/>
    </row>
    <row r="100" spans="1:30" s="31" customFormat="1" ht="15.6" x14ac:dyDescent="0.3">
      <c r="A100" s="167"/>
      <c r="B100" s="22"/>
      <c r="C100" s="41"/>
      <c r="D100" s="34"/>
      <c r="E100" s="35"/>
      <c r="F100" s="25"/>
      <c r="G100" s="26"/>
      <c r="H100" s="27"/>
      <c r="I100" s="27"/>
      <c r="J100" s="27"/>
      <c r="K100" s="27"/>
      <c r="L100" s="27"/>
      <c r="M100" s="27"/>
      <c r="N100" s="27"/>
      <c r="O100" s="27"/>
      <c r="P100" s="27"/>
      <c r="Q100" s="27"/>
      <c r="R100" s="27"/>
      <c r="S100" s="27"/>
      <c r="T100" s="27"/>
      <c r="U100" s="27"/>
      <c r="V100" s="27"/>
      <c r="W100" s="27"/>
      <c r="X100" s="27"/>
      <c r="Y100" s="27"/>
      <c r="Z100" s="28"/>
      <c r="AA100" s="37"/>
      <c r="AB100" s="29"/>
      <c r="AC100" s="30"/>
    </row>
    <row r="101" spans="1:30" s="31" customFormat="1" ht="15.6" x14ac:dyDescent="0.3">
      <c r="A101" s="168"/>
      <c r="B101" s="22"/>
      <c r="C101" s="22"/>
      <c r="D101" s="22"/>
      <c r="E101" s="24"/>
      <c r="F101" s="25"/>
      <c r="G101" s="25">
        <f>SUM(G6:G100)</f>
        <v>0</v>
      </c>
      <c r="H101" s="25">
        <f t="shared" ref="H101:AC101" si="0">SUM(H6:H100)</f>
        <v>0</v>
      </c>
      <c r="I101" s="25">
        <f t="shared" si="0"/>
        <v>0</v>
      </c>
      <c r="J101" s="25">
        <f t="shared" si="0"/>
        <v>0</v>
      </c>
      <c r="K101" s="25">
        <f t="shared" si="0"/>
        <v>0</v>
      </c>
      <c r="L101" s="25">
        <f t="shared" si="0"/>
        <v>0</v>
      </c>
      <c r="M101" s="25">
        <f t="shared" si="0"/>
        <v>0</v>
      </c>
      <c r="N101" s="25">
        <f t="shared" si="0"/>
        <v>0</v>
      </c>
      <c r="O101" s="25">
        <f t="shared" si="0"/>
        <v>0</v>
      </c>
      <c r="P101" s="25">
        <f t="shared" si="0"/>
        <v>0</v>
      </c>
      <c r="Q101" s="25">
        <f t="shared" si="0"/>
        <v>0</v>
      </c>
      <c r="R101" s="25">
        <f t="shared" si="0"/>
        <v>0</v>
      </c>
      <c r="S101" s="25">
        <f t="shared" si="0"/>
        <v>0</v>
      </c>
      <c r="T101" s="25">
        <f t="shared" si="0"/>
        <v>0</v>
      </c>
      <c r="U101" s="25">
        <f t="shared" si="0"/>
        <v>0</v>
      </c>
      <c r="V101" s="25">
        <f t="shared" si="0"/>
        <v>0</v>
      </c>
      <c r="W101" s="25">
        <f t="shared" si="0"/>
        <v>0</v>
      </c>
      <c r="X101" s="25">
        <f t="shared" si="0"/>
        <v>0</v>
      </c>
      <c r="Y101" s="25">
        <f t="shared" si="0"/>
        <v>0</v>
      </c>
      <c r="Z101" s="25">
        <f t="shared" si="0"/>
        <v>0</v>
      </c>
      <c r="AA101" s="25">
        <f t="shared" si="0"/>
        <v>0</v>
      </c>
      <c r="AB101" s="25">
        <f t="shared" si="0"/>
        <v>0</v>
      </c>
      <c r="AC101" s="25">
        <f t="shared" si="0"/>
        <v>0</v>
      </c>
      <c r="AD101" s="30">
        <f>SUM(G101:AC101)</f>
        <v>0</v>
      </c>
    </row>
    <row r="102" spans="1:30" s="31" customFormat="1" ht="15.6" x14ac:dyDescent="0.3">
      <c r="A102" s="169"/>
      <c r="B102" s="15"/>
      <c r="C102" s="43"/>
      <c r="D102" s="14"/>
      <c r="E102" s="44"/>
      <c r="F102" s="14"/>
      <c r="G102" s="14"/>
      <c r="H102" s="44"/>
      <c r="I102" s="14"/>
      <c r="J102" s="14"/>
      <c r="K102" s="14"/>
      <c r="L102" s="14"/>
      <c r="M102" s="14"/>
      <c r="N102" s="14"/>
      <c r="O102" s="14"/>
      <c r="P102" s="14"/>
      <c r="Q102" s="14"/>
      <c r="R102" s="14"/>
      <c r="S102" s="14"/>
      <c r="T102" s="14"/>
      <c r="U102" s="14"/>
      <c r="V102" s="14"/>
      <c r="W102" s="14"/>
      <c r="X102" s="14"/>
      <c r="Y102" s="14"/>
      <c r="Z102" s="14"/>
      <c r="AA102" s="14"/>
      <c r="AB102" s="14"/>
      <c r="AC102" s="44"/>
    </row>
    <row r="103" spans="1:30" ht="15.6" x14ac:dyDescent="0.3">
      <c r="A103" s="170"/>
      <c r="B103" s="45"/>
      <c r="C103" s="46"/>
      <c r="D103" s="47"/>
      <c r="E103" s="47"/>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row>
    <row r="104" spans="1:30" x14ac:dyDescent="0.3">
      <c r="A104" s="170"/>
      <c r="B104" s="45"/>
      <c r="C104" s="48"/>
      <c r="D104" s="47"/>
      <c r="E104" s="47"/>
    </row>
    <row r="105" spans="1:30" x14ac:dyDescent="0.3">
      <c r="A105" s="171"/>
      <c r="B105" s="50"/>
      <c r="C105" s="48"/>
      <c r="D105" s="47"/>
      <c r="E105" s="47"/>
    </row>
    <row r="106" spans="1:30" x14ac:dyDescent="0.3">
      <c r="A106" s="170"/>
      <c r="B106" s="45"/>
      <c r="C106" s="48"/>
      <c r="D106" s="47"/>
      <c r="E106" s="47"/>
    </row>
    <row r="107" spans="1:30" x14ac:dyDescent="0.3">
      <c r="A107" s="170"/>
      <c r="B107" s="45"/>
      <c r="C107" s="48"/>
      <c r="D107" s="47"/>
      <c r="E107" s="47"/>
    </row>
    <row r="108" spans="1:30" x14ac:dyDescent="0.3">
      <c r="A108" s="171"/>
      <c r="B108" s="49"/>
      <c r="C108" s="48"/>
      <c r="D108" s="47"/>
      <c r="E108" s="47"/>
    </row>
  </sheetData>
  <autoFilter ref="A3:AC71" xr:uid="{9C7C39CF-18F4-514F-8954-2823131A0539}"/>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B796-ACE1-6648-ACB5-3C18B1A3AB46}">
  <dimension ref="A1:L25"/>
  <sheetViews>
    <sheetView topLeftCell="A14" zoomScale="200" zoomScaleNormal="200" workbookViewId="0">
      <selection activeCell="C26" sqref="C26"/>
    </sheetView>
  </sheetViews>
  <sheetFormatPr defaultColWidth="10.796875" defaultRowHeight="14.4" x14ac:dyDescent="0.3"/>
  <cols>
    <col min="1" max="2" width="8.796875" style="15" customWidth="1"/>
    <col min="3" max="3" width="49.5" style="15" customWidth="1"/>
    <col min="4" max="5" width="8.796875" style="15" customWidth="1"/>
    <col min="6" max="6" width="17.296875" style="15" customWidth="1"/>
    <col min="7" max="256" width="8.796875" style="15" customWidth="1"/>
    <col min="257" max="16384" width="10.796875" style="15"/>
  </cols>
  <sheetData>
    <row r="1" spans="1:11" x14ac:dyDescent="0.3">
      <c r="A1" s="11" t="s">
        <v>115</v>
      </c>
      <c r="B1" s="57"/>
      <c r="C1" s="57"/>
      <c r="D1" s="56"/>
      <c r="E1" s="56"/>
      <c r="F1" s="56"/>
      <c r="G1" s="56"/>
      <c r="H1" s="56"/>
      <c r="I1" s="56"/>
      <c r="J1" s="56"/>
      <c r="K1" s="56"/>
    </row>
    <row r="3" spans="1:11" x14ac:dyDescent="0.3">
      <c r="A3" s="55" t="s">
        <v>43</v>
      </c>
      <c r="B3" s="55" t="s">
        <v>44</v>
      </c>
      <c r="C3" s="55" t="s">
        <v>45</v>
      </c>
      <c r="D3" s="55" t="s">
        <v>114</v>
      </c>
      <c r="E3" s="52" t="s">
        <v>113</v>
      </c>
      <c r="F3" s="52" t="s">
        <v>112</v>
      </c>
      <c r="G3" s="4" t="s">
        <v>111</v>
      </c>
      <c r="H3" s="52" t="s">
        <v>110</v>
      </c>
      <c r="I3" s="52" t="s">
        <v>49</v>
      </c>
      <c r="J3" s="52" t="s">
        <v>109</v>
      </c>
      <c r="K3" s="52" t="s">
        <v>108</v>
      </c>
    </row>
    <row r="4" spans="1:11" x14ac:dyDescent="0.3">
      <c r="A4" s="41" t="s">
        <v>107</v>
      </c>
      <c r="B4" s="53" t="s">
        <v>106</v>
      </c>
      <c r="C4" s="41" t="s">
        <v>101</v>
      </c>
      <c r="D4" s="52">
        <v>7175</v>
      </c>
      <c r="E4" s="7"/>
      <c r="F4" s="7">
        <v>195</v>
      </c>
      <c r="G4" s="54"/>
      <c r="H4" s="54"/>
      <c r="I4" s="54"/>
      <c r="J4" s="54"/>
      <c r="K4" s="54"/>
    </row>
    <row r="5" spans="1:11" x14ac:dyDescent="0.3">
      <c r="A5" s="41" t="s">
        <v>105</v>
      </c>
      <c r="B5" s="53"/>
      <c r="C5" s="41" t="s">
        <v>104</v>
      </c>
      <c r="D5" s="52">
        <v>110</v>
      </c>
      <c r="E5" s="54"/>
      <c r="F5" s="54"/>
      <c r="G5" s="54"/>
      <c r="H5" s="54"/>
      <c r="I5" s="54"/>
      <c r="J5" s="54"/>
      <c r="K5" s="54"/>
    </row>
    <row r="6" spans="1:11" x14ac:dyDescent="0.3">
      <c r="A6" s="41" t="s">
        <v>103</v>
      </c>
      <c r="B6" s="53"/>
      <c r="C6" s="41" t="s">
        <v>99</v>
      </c>
      <c r="D6" s="52">
        <v>816</v>
      </c>
      <c r="E6" s="54"/>
      <c r="F6" s="54"/>
      <c r="G6" s="54"/>
      <c r="H6" s="54"/>
      <c r="I6" s="54"/>
      <c r="J6" s="54"/>
      <c r="K6" s="54"/>
    </row>
    <row r="7" spans="1:11" x14ac:dyDescent="0.3">
      <c r="A7" s="41" t="s">
        <v>102</v>
      </c>
      <c r="B7" s="53"/>
      <c r="C7" s="41" t="s">
        <v>101</v>
      </c>
      <c r="D7" s="52">
        <v>7175</v>
      </c>
      <c r="E7" s="54"/>
      <c r="F7" s="54">
        <v>195</v>
      </c>
      <c r="G7" s="54"/>
      <c r="H7" s="54"/>
      <c r="I7" s="54"/>
      <c r="J7" s="54"/>
      <c r="K7" s="54"/>
    </row>
    <row r="8" spans="1:11" x14ac:dyDescent="0.3">
      <c r="A8" s="41" t="s">
        <v>100</v>
      </c>
      <c r="B8" s="53"/>
      <c r="C8" s="41" t="s">
        <v>99</v>
      </c>
      <c r="D8" s="52">
        <v>544</v>
      </c>
      <c r="E8" s="54"/>
      <c r="F8" s="54"/>
      <c r="G8" s="54"/>
      <c r="H8" s="54"/>
      <c r="I8" s="54"/>
      <c r="J8" s="54"/>
      <c r="K8" s="54"/>
    </row>
    <row r="9" spans="1:11" x14ac:dyDescent="0.3">
      <c r="A9" s="41" t="s">
        <v>95</v>
      </c>
      <c r="B9" s="53"/>
      <c r="C9" s="41" t="s">
        <v>99</v>
      </c>
      <c r="D9" s="52">
        <v>272</v>
      </c>
      <c r="E9" s="54"/>
      <c r="F9" s="54"/>
      <c r="G9" s="54"/>
      <c r="H9" s="54"/>
      <c r="I9" s="54"/>
      <c r="J9" s="54"/>
      <c r="K9" s="54"/>
    </row>
    <row r="10" spans="1:11" x14ac:dyDescent="0.3">
      <c r="A10" s="256">
        <v>46050</v>
      </c>
      <c r="B10" s="53"/>
      <c r="C10" s="41" t="s">
        <v>257</v>
      </c>
      <c r="D10" s="52">
        <v>345.94</v>
      </c>
      <c r="E10" s="54"/>
      <c r="F10" s="54"/>
      <c r="G10" s="54"/>
      <c r="H10" s="54"/>
      <c r="I10" s="54"/>
      <c r="J10" s="54"/>
      <c r="K10" s="54"/>
    </row>
    <row r="11" spans="1:11" x14ac:dyDescent="0.3">
      <c r="A11" s="256">
        <v>46065</v>
      </c>
      <c r="B11" s="53"/>
      <c r="C11" s="41" t="s">
        <v>255</v>
      </c>
      <c r="D11" s="52">
        <v>1743.71</v>
      </c>
      <c r="E11" s="54"/>
      <c r="F11" s="54"/>
      <c r="G11" s="54"/>
      <c r="H11" s="54"/>
      <c r="I11" s="54"/>
      <c r="J11" s="54"/>
      <c r="K11" s="54"/>
    </row>
    <row r="12" spans="1:11" x14ac:dyDescent="0.3">
      <c r="A12" s="256">
        <v>46084</v>
      </c>
      <c r="B12" s="53"/>
      <c r="C12" s="53" t="s">
        <v>99</v>
      </c>
      <c r="D12" s="52">
        <v>248</v>
      </c>
      <c r="E12" s="54"/>
      <c r="F12" s="54"/>
      <c r="G12" s="54"/>
      <c r="H12" s="54"/>
      <c r="I12" s="54"/>
      <c r="J12" s="54"/>
      <c r="K12" s="54"/>
    </row>
    <row r="13" spans="1:11" x14ac:dyDescent="0.3">
      <c r="A13" s="256">
        <v>46091</v>
      </c>
      <c r="B13" s="53"/>
      <c r="C13" s="53" t="s">
        <v>99</v>
      </c>
      <c r="D13" s="52">
        <v>760</v>
      </c>
      <c r="E13" s="54"/>
      <c r="F13" s="54"/>
      <c r="G13" s="54"/>
      <c r="H13" s="54"/>
      <c r="I13" s="54"/>
      <c r="J13" s="54"/>
      <c r="K13" s="54"/>
    </row>
    <row r="14" spans="1:11" x14ac:dyDescent="0.3">
      <c r="A14" s="256">
        <v>46104</v>
      </c>
      <c r="B14" s="53"/>
      <c r="C14" s="53" t="s">
        <v>255</v>
      </c>
      <c r="D14" s="52">
        <v>2625</v>
      </c>
      <c r="E14" s="54"/>
      <c r="F14" s="54"/>
      <c r="G14" s="54"/>
      <c r="H14" s="54"/>
      <c r="I14" s="54"/>
      <c r="J14" s="54"/>
      <c r="K14" s="54"/>
    </row>
    <row r="15" spans="1:11" x14ac:dyDescent="0.3">
      <c r="A15" s="256">
        <v>46105</v>
      </c>
      <c r="B15" s="53"/>
      <c r="C15" s="53" t="s">
        <v>99</v>
      </c>
      <c r="D15" s="52">
        <v>40</v>
      </c>
      <c r="E15" s="54"/>
      <c r="F15" s="54"/>
      <c r="G15" s="54"/>
      <c r="H15" s="54"/>
      <c r="I15" s="54"/>
      <c r="J15" s="54"/>
      <c r="K15" s="54"/>
    </row>
    <row r="16" spans="1:11" x14ac:dyDescent="0.3">
      <c r="A16" s="41"/>
      <c r="B16" s="53"/>
      <c r="C16" s="53"/>
      <c r="D16" s="52"/>
      <c r="E16" s="54"/>
      <c r="F16" s="54"/>
      <c r="G16" s="54"/>
      <c r="H16" s="54"/>
      <c r="I16" s="54"/>
      <c r="J16" s="54"/>
      <c r="K16" s="54"/>
    </row>
    <row r="17" spans="1:12" x14ac:dyDescent="0.3">
      <c r="A17" s="41"/>
      <c r="B17" s="53"/>
      <c r="C17" s="53"/>
      <c r="D17" s="52"/>
      <c r="E17" s="54"/>
      <c r="F17" s="54"/>
      <c r="G17" s="54"/>
      <c r="H17" s="54"/>
      <c r="I17" s="54"/>
      <c r="J17" s="54"/>
      <c r="K17" s="54"/>
    </row>
    <row r="18" spans="1:12" x14ac:dyDescent="0.3">
      <c r="A18" s="41"/>
      <c r="B18" s="53"/>
      <c r="C18" s="53"/>
      <c r="D18" s="52"/>
      <c r="E18" s="54"/>
      <c r="F18" s="54"/>
      <c r="G18" s="54"/>
      <c r="H18" s="54"/>
      <c r="I18" s="54"/>
      <c r="J18" s="54"/>
      <c r="K18" s="54"/>
    </row>
    <row r="19" spans="1:12" x14ac:dyDescent="0.3">
      <c r="A19" s="41"/>
      <c r="B19" s="53"/>
      <c r="C19" s="53"/>
      <c r="D19" s="52"/>
      <c r="E19" s="54"/>
      <c r="F19" s="54"/>
      <c r="G19" s="54"/>
      <c r="H19" s="54"/>
      <c r="I19" s="54"/>
      <c r="J19" s="54"/>
      <c r="K19" s="54"/>
    </row>
    <row r="20" spans="1:12" x14ac:dyDescent="0.3">
      <c r="A20" s="41"/>
      <c r="B20" s="53"/>
      <c r="C20" s="41"/>
      <c r="D20" s="52"/>
      <c r="E20" s="54"/>
      <c r="F20" s="54"/>
      <c r="G20" s="54"/>
      <c r="H20" s="54"/>
      <c r="I20" s="54"/>
      <c r="J20" s="54"/>
      <c r="K20" s="54"/>
    </row>
    <row r="21" spans="1:12" x14ac:dyDescent="0.3">
      <c r="A21" s="41"/>
      <c r="B21" s="53"/>
      <c r="C21" s="41"/>
      <c r="D21" s="52"/>
      <c r="E21" s="54"/>
      <c r="F21" s="54"/>
      <c r="G21" s="54"/>
      <c r="H21" s="54"/>
      <c r="I21" s="54"/>
      <c r="J21" s="54"/>
      <c r="K21" s="54"/>
    </row>
    <row r="22" spans="1:12" x14ac:dyDescent="0.3">
      <c r="A22" s="53" t="s">
        <v>98</v>
      </c>
      <c r="B22" s="53"/>
      <c r="C22" s="53"/>
      <c r="D22" s="54"/>
      <c r="E22" s="54"/>
      <c r="F22" s="54"/>
      <c r="G22" s="54"/>
      <c r="H22" s="54"/>
      <c r="I22" s="54"/>
      <c r="J22" s="54"/>
      <c r="K22" s="54"/>
    </row>
    <row r="23" spans="1:12" x14ac:dyDescent="0.3">
      <c r="A23" s="53"/>
      <c r="B23" s="53"/>
      <c r="C23" s="53"/>
      <c r="D23" s="52">
        <f t="shared" ref="D23:K23" si="0">SUM(D4:D22)</f>
        <v>21854.649999999998</v>
      </c>
      <c r="E23" s="52">
        <f t="shared" si="0"/>
        <v>0</v>
      </c>
      <c r="F23" s="52">
        <f t="shared" si="0"/>
        <v>390</v>
      </c>
      <c r="G23" s="52">
        <f t="shared" si="0"/>
        <v>0</v>
      </c>
      <c r="H23" s="52">
        <f t="shared" si="0"/>
        <v>0</v>
      </c>
      <c r="I23" s="52">
        <f t="shared" si="0"/>
        <v>0</v>
      </c>
      <c r="J23" s="52">
        <f t="shared" si="0"/>
        <v>0</v>
      </c>
      <c r="K23" s="52">
        <f t="shared" si="0"/>
        <v>0</v>
      </c>
      <c r="L23" s="51">
        <f>SUM(E23:K23)</f>
        <v>390</v>
      </c>
    </row>
    <row r="25" spans="1:12" x14ac:dyDescent="0.3">
      <c r="H25" s="15" t="s">
        <v>97</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3941-99B8-1D47-BD17-6E02D6193CFA}">
  <dimension ref="A1:H22"/>
  <sheetViews>
    <sheetView zoomScale="200" zoomScaleNormal="200" workbookViewId="0">
      <selection activeCell="G21" sqref="G21"/>
    </sheetView>
  </sheetViews>
  <sheetFormatPr defaultColWidth="10.796875" defaultRowHeight="14.4" x14ac:dyDescent="0.3"/>
  <cols>
    <col min="1" max="2" width="8.796875" style="15" customWidth="1"/>
    <col min="3" max="3" width="11" style="15" customWidth="1"/>
    <col min="4" max="4" width="11.796875" style="15" customWidth="1"/>
    <col min="5" max="5" width="8.796875" style="15" customWidth="1"/>
    <col min="6" max="6" width="10.5" style="15" bestFit="1" customWidth="1"/>
    <col min="7" max="7" width="8.796875" style="15" customWidth="1"/>
    <col min="8" max="8" width="38.296875" style="15" customWidth="1"/>
    <col min="9" max="256" width="8.796875" style="15" customWidth="1"/>
    <col min="257" max="16384" width="10.796875" style="15"/>
  </cols>
  <sheetData>
    <row r="1" spans="1:8" s="73" customFormat="1" x14ac:dyDescent="0.3">
      <c r="A1" s="74" t="s">
        <v>131</v>
      </c>
      <c r="B1" s="74"/>
      <c r="C1" s="74"/>
      <c r="D1" s="74"/>
      <c r="E1" s="74"/>
      <c r="F1" s="74"/>
      <c r="G1" s="74"/>
    </row>
    <row r="2" spans="1:8" x14ac:dyDescent="0.3">
      <c r="A2" s="68" t="s">
        <v>43</v>
      </c>
      <c r="B2" s="68" t="s">
        <v>130</v>
      </c>
      <c r="C2" s="68" t="s">
        <v>129</v>
      </c>
      <c r="D2" s="68" t="s">
        <v>128</v>
      </c>
      <c r="E2" s="69" t="s">
        <v>127</v>
      </c>
      <c r="F2" s="72" t="s">
        <v>48</v>
      </c>
      <c r="G2" s="68" t="s">
        <v>126</v>
      </c>
      <c r="H2" s="71" t="s">
        <v>125</v>
      </c>
    </row>
    <row r="3" spans="1:8" x14ac:dyDescent="0.3">
      <c r="A3" s="70" t="s">
        <v>68</v>
      </c>
      <c r="B3" s="68"/>
      <c r="C3" s="68"/>
      <c r="D3" s="68"/>
      <c r="E3" s="69"/>
      <c r="F3" s="66">
        <v>7269.39</v>
      </c>
      <c r="G3" s="68"/>
      <c r="H3" s="61"/>
    </row>
    <row r="4" spans="1:8" x14ac:dyDescent="0.3">
      <c r="A4" s="62" t="s">
        <v>124</v>
      </c>
      <c r="B4" s="62"/>
      <c r="C4" s="62"/>
      <c r="D4" s="67"/>
      <c r="E4" s="67">
        <v>8.44</v>
      </c>
      <c r="F4" s="66">
        <f>SUM(F3+E4)</f>
        <v>7277.83</v>
      </c>
      <c r="G4" s="65"/>
      <c r="H4" s="61"/>
    </row>
    <row r="5" spans="1:8" x14ac:dyDescent="0.3">
      <c r="A5" s="62" t="s">
        <v>123</v>
      </c>
      <c r="B5" s="62"/>
      <c r="C5" s="62"/>
      <c r="D5" s="62">
        <v>1000</v>
      </c>
      <c r="E5" s="67"/>
      <c r="F5" s="66">
        <f>SUM(F4-D5)</f>
        <v>6277.83</v>
      </c>
      <c r="G5" s="65"/>
      <c r="H5" s="61"/>
    </row>
    <row r="6" spans="1:8" x14ac:dyDescent="0.3">
      <c r="A6" s="62" t="s">
        <v>78</v>
      </c>
      <c r="B6" s="62"/>
      <c r="C6" s="62">
        <v>5000</v>
      </c>
      <c r="D6" s="62"/>
      <c r="E6" s="67">
        <v>4.92</v>
      </c>
      <c r="F6" s="66">
        <f>SUM(F5+C6+E6)</f>
        <v>11282.75</v>
      </c>
      <c r="G6" s="65"/>
      <c r="H6" s="61"/>
    </row>
    <row r="7" spans="1:8" x14ac:dyDescent="0.3">
      <c r="A7" s="62" t="s">
        <v>122</v>
      </c>
      <c r="B7" s="62"/>
      <c r="C7" s="67"/>
      <c r="D7" s="62"/>
      <c r="E7" s="67">
        <v>7.51</v>
      </c>
      <c r="F7" s="66">
        <f>SUM(F6+E7)</f>
        <v>11290.26</v>
      </c>
      <c r="G7" s="65"/>
      <c r="H7" s="42"/>
    </row>
    <row r="8" spans="1:8" x14ac:dyDescent="0.3">
      <c r="A8" s="62" t="s">
        <v>121</v>
      </c>
      <c r="B8" s="62"/>
      <c r="C8" s="62"/>
      <c r="D8" s="62"/>
      <c r="E8" s="67">
        <v>6.5</v>
      </c>
      <c r="F8" s="66">
        <f>SUM(F7+E8)</f>
        <v>11296.76</v>
      </c>
      <c r="G8" s="65"/>
      <c r="H8" s="61"/>
    </row>
    <row r="9" spans="1:8" x14ac:dyDescent="0.3">
      <c r="A9" s="62" t="s">
        <v>120</v>
      </c>
      <c r="B9" s="62"/>
      <c r="C9" s="67"/>
      <c r="D9" s="67"/>
      <c r="E9" s="67">
        <v>7.15</v>
      </c>
      <c r="F9" s="66">
        <v>11303.91</v>
      </c>
      <c r="G9" s="65"/>
      <c r="H9" s="61"/>
    </row>
    <row r="10" spans="1:8" x14ac:dyDescent="0.3">
      <c r="A10" s="62" t="s">
        <v>86</v>
      </c>
      <c r="B10" s="62"/>
      <c r="C10" s="67"/>
      <c r="D10" s="67">
        <v>500</v>
      </c>
      <c r="E10" s="67"/>
      <c r="F10" s="66">
        <v>10803.91</v>
      </c>
      <c r="G10" s="65"/>
      <c r="H10" s="61"/>
    </row>
    <row r="11" spans="1:8" x14ac:dyDescent="0.3">
      <c r="A11" s="62" t="s">
        <v>119</v>
      </c>
      <c r="B11" s="62"/>
      <c r="C11" s="67"/>
      <c r="D11" s="67"/>
      <c r="E11" s="67">
        <v>6.17</v>
      </c>
      <c r="F11" s="66">
        <v>10810.08</v>
      </c>
      <c r="G11" s="65"/>
      <c r="H11" s="61"/>
    </row>
    <row r="12" spans="1:8" x14ac:dyDescent="0.3">
      <c r="A12" s="62" t="s">
        <v>92</v>
      </c>
      <c r="B12" s="62"/>
      <c r="C12" s="67">
        <v>5000</v>
      </c>
      <c r="D12" s="67"/>
      <c r="E12" s="67"/>
      <c r="F12" s="66">
        <v>15810.08</v>
      </c>
      <c r="G12" s="65"/>
      <c r="H12" s="61"/>
    </row>
    <row r="13" spans="1:8" x14ac:dyDescent="0.3">
      <c r="A13" s="62" t="s">
        <v>118</v>
      </c>
      <c r="B13" s="62"/>
      <c r="C13" s="67"/>
      <c r="D13" s="67"/>
      <c r="E13" s="67">
        <v>5.66</v>
      </c>
      <c r="F13" s="66">
        <v>15815.74</v>
      </c>
      <c r="G13" s="65"/>
      <c r="H13" s="61"/>
    </row>
    <row r="14" spans="1:8" x14ac:dyDescent="0.3">
      <c r="A14" s="62" t="s">
        <v>93</v>
      </c>
      <c r="B14" s="62"/>
      <c r="C14" s="67"/>
      <c r="D14" s="67">
        <v>2000</v>
      </c>
      <c r="E14" s="67"/>
      <c r="F14" s="66">
        <v>13815.74</v>
      </c>
      <c r="G14" s="65"/>
      <c r="H14" s="61"/>
    </row>
    <row r="15" spans="1:8" x14ac:dyDescent="0.3">
      <c r="A15" s="62" t="s">
        <v>117</v>
      </c>
      <c r="B15" s="62"/>
      <c r="C15" s="67"/>
      <c r="D15" s="67"/>
      <c r="E15" s="67">
        <v>8.06</v>
      </c>
      <c r="F15" s="66">
        <v>13823.8</v>
      </c>
      <c r="G15" s="65"/>
      <c r="H15" s="61"/>
    </row>
    <row r="16" spans="1:8" x14ac:dyDescent="0.3">
      <c r="A16" s="62" t="s">
        <v>116</v>
      </c>
      <c r="B16" s="62"/>
      <c r="C16" s="67"/>
      <c r="D16" s="67"/>
      <c r="E16" s="67">
        <v>6.59</v>
      </c>
      <c r="F16" s="66">
        <v>13830.39</v>
      </c>
      <c r="G16" s="65"/>
      <c r="H16" s="61"/>
    </row>
    <row r="17" spans="1:8" x14ac:dyDescent="0.3">
      <c r="A17" s="257">
        <v>46031</v>
      </c>
      <c r="B17" s="62"/>
      <c r="C17" s="67"/>
      <c r="D17" s="67"/>
      <c r="E17" s="67">
        <v>7.05</v>
      </c>
      <c r="F17" s="66">
        <v>13837.44</v>
      </c>
      <c r="G17" s="65"/>
      <c r="H17" s="61"/>
    </row>
    <row r="18" spans="1:8" x14ac:dyDescent="0.3">
      <c r="A18" s="257">
        <v>46048</v>
      </c>
      <c r="B18" s="62"/>
      <c r="C18" s="67"/>
      <c r="D18" s="67">
        <v>5000</v>
      </c>
      <c r="E18" s="67"/>
      <c r="F18" s="66">
        <v>8837.44</v>
      </c>
      <c r="G18" s="65"/>
      <c r="H18" s="61"/>
    </row>
    <row r="19" spans="1:8" x14ac:dyDescent="0.3">
      <c r="A19" s="257">
        <v>46062</v>
      </c>
      <c r="B19" s="62"/>
      <c r="C19" s="67"/>
      <c r="D19" s="67"/>
      <c r="E19" s="67">
        <v>5.23</v>
      </c>
      <c r="F19" s="66"/>
      <c r="G19" s="65"/>
      <c r="H19" s="61"/>
    </row>
    <row r="20" spans="1:8" x14ac:dyDescent="0.3">
      <c r="A20" s="257">
        <v>46090</v>
      </c>
      <c r="B20" s="62"/>
      <c r="C20" s="67"/>
      <c r="D20" s="67"/>
      <c r="E20" s="67">
        <v>3.39</v>
      </c>
      <c r="F20" s="66"/>
      <c r="G20" s="65"/>
      <c r="H20" s="61"/>
    </row>
    <row r="21" spans="1:8" x14ac:dyDescent="0.3">
      <c r="A21" s="62"/>
      <c r="B21" s="62"/>
      <c r="C21" s="64">
        <f>SUM(C4:C18)</f>
        <v>10000</v>
      </c>
      <c r="D21" s="64">
        <f>SUM(D4:D18)</f>
        <v>8500</v>
      </c>
      <c r="E21" s="64">
        <f>SUM(E4:E20)</f>
        <v>76.67</v>
      </c>
      <c r="F21" s="63"/>
      <c r="G21" s="62"/>
      <c r="H21" s="61"/>
    </row>
    <row r="22" spans="1:8" x14ac:dyDescent="0.3">
      <c r="A22" s="58"/>
      <c r="B22" s="58"/>
      <c r="C22" s="59"/>
      <c r="D22" s="59"/>
      <c r="E22" s="60"/>
      <c r="F22" s="59"/>
      <c r="G22" s="58"/>
    </row>
  </sheetData>
  <pageMargins left="0.7" right="0.7" top="0.75" bottom="0.75" header="0.3" footer="0.3"/>
  <pageSetup paperSize="9" orientation="portrait" verticalDpi="36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6941-4F91-E749-9451-F9202562F484}">
  <dimension ref="B2:F13"/>
  <sheetViews>
    <sheetView zoomScale="200" zoomScaleNormal="200" workbookViewId="0">
      <selection activeCell="D6" sqref="D6"/>
    </sheetView>
  </sheetViews>
  <sheetFormatPr defaultColWidth="11.19921875" defaultRowHeight="15.6" x14ac:dyDescent="0.3"/>
  <cols>
    <col min="2" max="6" width="20.796875" customWidth="1"/>
  </cols>
  <sheetData>
    <row r="2" spans="2:6" ht="21" x14ac:dyDescent="0.4">
      <c r="B2" s="10" t="s">
        <v>37</v>
      </c>
    </row>
    <row r="3" spans="2:6" x14ac:dyDescent="0.3">
      <c r="B3" s="1"/>
      <c r="C3" s="2" t="s">
        <v>0</v>
      </c>
      <c r="D3" s="2" t="s">
        <v>1</v>
      </c>
      <c r="E3" s="2" t="s">
        <v>2</v>
      </c>
      <c r="F3" s="2" t="s">
        <v>41</v>
      </c>
    </row>
    <row r="4" spans="2:6" x14ac:dyDescent="0.3">
      <c r="B4" s="3" t="s">
        <v>3</v>
      </c>
      <c r="C4" s="96">
        <v>14350</v>
      </c>
      <c r="D4" s="96">
        <v>14350</v>
      </c>
      <c r="E4" s="94">
        <f t="shared" ref="E4:E9" si="0">D4-C4</f>
        <v>0</v>
      </c>
      <c r="F4" s="91">
        <f>IFERROR(IF(ERROR.TYPE(D4/C4)=2,1,D4/C4),D4/C4)</f>
        <v>1</v>
      </c>
    </row>
    <row r="5" spans="2:6" x14ac:dyDescent="0.3">
      <c r="B5" s="3" t="s">
        <v>5</v>
      </c>
      <c r="C5" s="96">
        <v>0</v>
      </c>
      <c r="D5" s="96">
        <v>110</v>
      </c>
      <c r="E5" s="94">
        <f t="shared" si="0"/>
        <v>110</v>
      </c>
      <c r="F5" s="91">
        <f>IFERROR(IF(ERROR.TYPE(D5/C5)=2,1,D5/C5),D5/C5)</f>
        <v>1</v>
      </c>
    </row>
    <row r="6" spans="2:6" x14ac:dyDescent="0.3">
      <c r="B6" s="3" t="s">
        <v>6</v>
      </c>
      <c r="C6" s="96">
        <v>72</v>
      </c>
      <c r="D6" s="96">
        <v>61</v>
      </c>
      <c r="E6" s="94">
        <f t="shared" si="0"/>
        <v>-11</v>
      </c>
      <c r="F6" s="91">
        <f>IFERROR(IF(ERROR.TYPE(D6/C6)=2,1,D6/C6),D6/C6)</f>
        <v>0.84722222222222221</v>
      </c>
    </row>
    <row r="7" spans="2:6" x14ac:dyDescent="0.3">
      <c r="B7" s="234" t="s">
        <v>213</v>
      </c>
      <c r="C7" s="235">
        <v>0</v>
      </c>
      <c r="D7" s="235">
        <v>345.94</v>
      </c>
      <c r="E7" s="94">
        <f t="shared" si="0"/>
        <v>345.94</v>
      </c>
      <c r="F7" s="91">
        <f>IFERROR(IF(ERROR.TYPE(D7/C7)=2,1,D7/C7),D7/C7)</f>
        <v>1</v>
      </c>
    </row>
    <row r="8" spans="2:6" ht="16.2" thickBot="1" x14ac:dyDescent="0.35">
      <c r="B8" s="6" t="s">
        <v>7</v>
      </c>
      <c r="C8" s="97">
        <v>0</v>
      </c>
      <c r="D8" s="97">
        <v>524.76</v>
      </c>
      <c r="E8" s="103">
        <f t="shared" si="0"/>
        <v>524.76</v>
      </c>
      <c r="F8" s="91">
        <f>IFERROR(IF(ERROR.TYPE(D8/C8)=2,1,D8/C8),D8/C8)</f>
        <v>1</v>
      </c>
    </row>
    <row r="9" spans="2:6" ht="16.2" thickBot="1" x14ac:dyDescent="0.35">
      <c r="B9" s="104" t="s">
        <v>8</v>
      </c>
      <c r="C9" s="105">
        <f>SUM(C4:C8)</f>
        <v>14422</v>
      </c>
      <c r="D9" s="105">
        <f>SUM(D4:D8)</f>
        <v>15391.7</v>
      </c>
      <c r="E9" s="106">
        <f t="shared" si="0"/>
        <v>969.70000000000073</v>
      </c>
    </row>
    <row r="13" spans="2:6" x14ac:dyDescent="0.3">
      <c r="F13" t="s">
        <v>146</v>
      </c>
    </row>
  </sheetData>
  <conditionalFormatting sqref="E4:E9">
    <cfRule type="cellIs" dxfId="25" priority="1" operator="equal">
      <formula>0</formula>
    </cfRule>
    <cfRule type="cellIs" dxfId="24" priority="2" operator="lessThan">
      <formula>0</formula>
    </cfRule>
    <cfRule type="cellIs" dxfId="23" priority="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215-529E-5141-970F-CF0E736B9D5A}">
  <dimension ref="B2:G17"/>
  <sheetViews>
    <sheetView zoomScale="159" zoomScaleNormal="200" workbookViewId="0">
      <selection activeCell="F4" sqref="F4"/>
    </sheetView>
  </sheetViews>
  <sheetFormatPr defaultColWidth="11.19921875" defaultRowHeight="15.6" x14ac:dyDescent="0.3"/>
  <cols>
    <col min="2" max="2" width="26.69921875" bestFit="1" customWidth="1"/>
    <col min="3" max="7" width="20.796875" customWidth="1"/>
  </cols>
  <sheetData>
    <row r="2" spans="2:7" ht="21.6" thickBot="1" x14ac:dyDescent="0.45">
      <c r="B2" s="10" t="s">
        <v>36</v>
      </c>
    </row>
    <row r="3" spans="2:7" ht="16.2" thickBot="1" x14ac:dyDescent="0.35">
      <c r="B3" s="144"/>
      <c r="C3" s="130" t="s">
        <v>9</v>
      </c>
      <c r="D3" s="130" t="s">
        <v>38</v>
      </c>
      <c r="E3" s="134" t="s">
        <v>39</v>
      </c>
      <c r="F3" s="137" t="s">
        <v>169</v>
      </c>
      <c r="G3" s="131" t="s">
        <v>170</v>
      </c>
    </row>
    <row r="4" spans="2:7" x14ac:dyDescent="0.3">
      <c r="B4" s="143" t="s">
        <v>35</v>
      </c>
      <c r="C4" s="140">
        <v>327.51</v>
      </c>
      <c r="D4" s="128">
        <v>0</v>
      </c>
      <c r="E4" s="135">
        <v>0</v>
      </c>
      <c r="F4" s="138">
        <f>D4-E4</f>
        <v>0</v>
      </c>
      <c r="G4" s="129">
        <f>C4-D4</f>
        <v>327.51</v>
      </c>
    </row>
    <row r="5" spans="2:7" ht="16.2" thickBot="1" x14ac:dyDescent="0.35">
      <c r="B5" s="142" t="s">
        <v>4</v>
      </c>
      <c r="C5" s="141">
        <v>2584.7199999999998</v>
      </c>
      <c r="D5" s="127">
        <v>1360</v>
      </c>
      <c r="E5" s="136">
        <v>1360</v>
      </c>
      <c r="F5" s="139">
        <f>D5-E5</f>
        <v>0</v>
      </c>
      <c r="G5" s="132">
        <f>C5-D5</f>
        <v>1224.7199999999998</v>
      </c>
    </row>
    <row r="8" spans="2:7" x14ac:dyDescent="0.3">
      <c r="B8" s="259" t="s">
        <v>171</v>
      </c>
      <c r="C8" s="259"/>
      <c r="D8" s="259"/>
      <c r="E8" s="259"/>
      <c r="F8" s="259"/>
    </row>
    <row r="9" spans="2:7" x14ac:dyDescent="0.3">
      <c r="B9" s="259"/>
      <c r="C9" s="259"/>
      <c r="D9" s="259"/>
      <c r="E9" s="259"/>
      <c r="F9" s="259"/>
    </row>
    <row r="10" spans="2:7" x14ac:dyDescent="0.3">
      <c r="B10" s="259"/>
      <c r="C10" s="259"/>
      <c r="D10" s="259"/>
      <c r="E10" s="259"/>
      <c r="F10" s="259"/>
    </row>
    <row r="11" spans="2:7" x14ac:dyDescent="0.3">
      <c r="B11" s="259"/>
      <c r="C11" s="259"/>
      <c r="D11" s="259"/>
      <c r="E11" s="259"/>
      <c r="F11" s="259"/>
    </row>
    <row r="12" spans="2:7" x14ac:dyDescent="0.3">
      <c r="B12" s="259"/>
      <c r="C12" s="259"/>
      <c r="D12" s="259"/>
      <c r="E12" s="259"/>
      <c r="F12" s="259"/>
    </row>
    <row r="13" spans="2:7" x14ac:dyDescent="0.3">
      <c r="B13" s="259"/>
      <c r="C13" s="259"/>
      <c r="D13" s="259"/>
      <c r="E13" s="259"/>
      <c r="F13" s="259"/>
    </row>
    <row r="14" spans="2:7" x14ac:dyDescent="0.3">
      <c r="B14" s="259"/>
      <c r="C14" s="259"/>
      <c r="D14" s="259"/>
      <c r="E14" s="259"/>
      <c r="F14" s="259"/>
    </row>
    <row r="15" spans="2:7" x14ac:dyDescent="0.3">
      <c r="B15" s="259"/>
      <c r="C15" s="259"/>
      <c r="D15" s="259"/>
      <c r="E15" s="259"/>
      <c r="F15" s="259"/>
    </row>
    <row r="16" spans="2:7" x14ac:dyDescent="0.3">
      <c r="B16" s="259"/>
      <c r="C16" s="259"/>
      <c r="D16" s="259"/>
      <c r="E16" s="259"/>
      <c r="F16" s="259"/>
    </row>
    <row r="17" spans="2:6" x14ac:dyDescent="0.3">
      <c r="B17" s="259"/>
      <c r="C17" s="259"/>
      <c r="D17" s="259"/>
      <c r="E17" s="259"/>
      <c r="F17" s="259"/>
    </row>
  </sheetData>
  <mergeCells count="1">
    <mergeCell ref="B8:F17"/>
  </mergeCells>
  <conditionalFormatting sqref="F4:F5">
    <cfRule type="cellIs" dxfId="22" priority="1" operator="greaterThan">
      <formula>0</formula>
    </cfRule>
  </conditionalFormatting>
  <conditionalFormatting sqref="G4:G5">
    <cfRule type="cellIs" dxfId="21" priority="2"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B688-93AD-C64F-AB94-3379E4C9723A}">
  <dimension ref="B2:F15"/>
  <sheetViews>
    <sheetView topLeftCell="A7" zoomScale="200" zoomScaleNormal="200" workbookViewId="0">
      <selection activeCell="C5" sqref="C5"/>
    </sheetView>
  </sheetViews>
  <sheetFormatPr defaultColWidth="11.19921875" defaultRowHeight="15.6" x14ac:dyDescent="0.3"/>
  <cols>
    <col min="2" max="2" width="23.796875" bestFit="1" customWidth="1"/>
    <col min="3" max="6" width="20.796875" customWidth="1"/>
  </cols>
  <sheetData>
    <row r="2" spans="2:6" ht="21" x14ac:dyDescent="0.4">
      <c r="B2" s="10" t="s">
        <v>40</v>
      </c>
    </row>
    <row r="3" spans="2:6" ht="16.2" thickBot="1" x14ac:dyDescent="0.35">
      <c r="B3" s="221" t="s">
        <v>178</v>
      </c>
      <c r="C3" s="222" t="s">
        <v>9</v>
      </c>
      <c r="D3" s="223" t="s">
        <v>10</v>
      </c>
      <c r="E3" s="224" t="s">
        <v>2</v>
      </c>
      <c r="F3" s="225" t="s">
        <v>41</v>
      </c>
    </row>
    <row r="4" spans="2:6" x14ac:dyDescent="0.3">
      <c r="B4" s="218" t="s">
        <v>11</v>
      </c>
      <c r="C4" s="98">
        <f>'Staff Costs'!C6</f>
        <v>8912.8799999999992</v>
      </c>
      <c r="D4" s="99">
        <f>'Staff Costs'!D6</f>
        <v>7464.31</v>
      </c>
      <c r="E4" s="99">
        <f t="shared" ref="E4:E14" si="0">C4-D4</f>
        <v>1448.5699999999988</v>
      </c>
      <c r="F4" s="220">
        <f>General_Expenditure[[#This Row],[Paid to date]]/General_Expenditure[[#This Row],[Budget]]</f>
        <v>0.8374745312401829</v>
      </c>
    </row>
    <row r="5" spans="2:6" x14ac:dyDescent="0.3">
      <c r="B5" s="219" t="s">
        <v>13</v>
      </c>
      <c r="C5" s="100">
        <f>'Administration Costs'!C5</f>
        <v>120</v>
      </c>
      <c r="D5" s="101">
        <f>'Administration Costs'!D5</f>
        <v>42.96</v>
      </c>
      <c r="E5" s="101">
        <f t="shared" si="0"/>
        <v>77.039999999999992</v>
      </c>
      <c r="F5" s="220">
        <f>General_Expenditure[[#This Row],[Paid to date]]/General_Expenditure[[#This Row],[Budget]]</f>
        <v>0.35799999999999998</v>
      </c>
    </row>
    <row r="6" spans="2:6" x14ac:dyDescent="0.3">
      <c r="B6" s="219" t="s">
        <v>14</v>
      </c>
      <c r="C6" s="100">
        <v>63</v>
      </c>
      <c r="D6" s="101">
        <v>42</v>
      </c>
      <c r="E6" s="101">
        <f t="shared" si="0"/>
        <v>21</v>
      </c>
      <c r="F6" s="220">
        <f>General_Expenditure[[#This Row],[Paid to date]]/General_Expenditure[[#This Row],[Budget]]</f>
        <v>0.66666666666666663</v>
      </c>
    </row>
    <row r="7" spans="2:6" x14ac:dyDescent="0.3">
      <c r="B7" s="219" t="s">
        <v>185</v>
      </c>
      <c r="C7" s="100">
        <f>'Professional Services'!C6</f>
        <v>1437.88</v>
      </c>
      <c r="D7" s="101">
        <f>'Professional Services'!D6</f>
        <v>1437.88</v>
      </c>
      <c r="E7" s="101">
        <f>C7-D7</f>
        <v>0</v>
      </c>
      <c r="F7" s="220">
        <f>General_Expenditure[[#This Row],[Paid to date]]/General_Expenditure[[#This Row],[Budget]]</f>
        <v>1</v>
      </c>
    </row>
    <row r="8" spans="2:6" x14ac:dyDescent="0.3">
      <c r="B8" s="219" t="s">
        <v>19</v>
      </c>
      <c r="C8" s="100">
        <f>500-205</f>
        <v>295</v>
      </c>
      <c r="D8" s="101">
        <v>0</v>
      </c>
      <c r="E8" s="101">
        <f t="shared" si="0"/>
        <v>295</v>
      </c>
      <c r="F8" s="220">
        <f>General_Expenditure[[#This Row],[Paid to date]]/General_Expenditure[[#This Row],[Budget]]</f>
        <v>0</v>
      </c>
    </row>
    <row r="9" spans="2:6" x14ac:dyDescent="0.3">
      <c r="B9" s="219" t="s">
        <v>184</v>
      </c>
      <c r="C9" s="100">
        <f>Communications!C6</f>
        <v>573.6</v>
      </c>
      <c r="D9" s="101">
        <f>Communications!D6</f>
        <v>273.60000000000002</v>
      </c>
      <c r="E9" s="101">
        <f>C9-D9</f>
        <v>300</v>
      </c>
      <c r="F9" s="220">
        <f>General_Expenditure[[#This Row],[Paid to date]]/General_Expenditure[[#This Row],[Budget]]</f>
        <v>0.47698744769874479</v>
      </c>
    </row>
    <row r="10" spans="2:6" x14ac:dyDescent="0.3">
      <c r="B10" s="219" t="s">
        <v>179</v>
      </c>
      <c r="C10" s="100">
        <f>Maintenance!C6</f>
        <v>1391.68</v>
      </c>
      <c r="D10" s="101">
        <f>Maintenance!D6</f>
        <v>1043.68</v>
      </c>
      <c r="E10" s="101">
        <f>C10-D10</f>
        <v>348</v>
      </c>
      <c r="F10" s="220">
        <f>General_Expenditure[[#This Row],[Paid to date]]/General_Expenditure[[#This Row],[Budget]]</f>
        <v>0.74994251552080937</v>
      </c>
    </row>
    <row r="11" spans="2:6" x14ac:dyDescent="0.3">
      <c r="B11" s="219" t="s">
        <v>26</v>
      </c>
      <c r="C11" s="100">
        <f>'Neighbourhood Plan'!C5</f>
        <v>0</v>
      </c>
      <c r="D11" s="101">
        <f>'Neighbourhood Plan'!D5</f>
        <v>524.76</v>
      </c>
      <c r="E11" s="101">
        <f t="shared" si="0"/>
        <v>-524.76</v>
      </c>
      <c r="F11" s="220" t="e">
        <f>General_Expenditure[[#This Row],[Paid to date]]/General_Expenditure[[#This Row],[Budget]]</f>
        <v>#DIV/0!</v>
      </c>
    </row>
    <row r="12" spans="2:6" x14ac:dyDescent="0.3">
      <c r="B12" s="219" t="s">
        <v>199</v>
      </c>
      <c r="C12" s="100">
        <f>Projects!C5</f>
        <v>50</v>
      </c>
      <c r="D12" s="101">
        <f>Projects!D5</f>
        <v>0</v>
      </c>
      <c r="E12" s="101">
        <f>C12-D12</f>
        <v>50</v>
      </c>
      <c r="F12" s="220">
        <f>General_Expenditure[[#This Row],[Paid to date]]/General_Expenditure[[#This Row],[Budget]]</f>
        <v>0</v>
      </c>
    </row>
    <row r="13" spans="2:6" x14ac:dyDescent="0.3">
      <c r="B13" s="219" t="s">
        <v>196</v>
      </c>
      <c r="C13" s="100">
        <f>Lengthsman!C6</f>
        <v>3264</v>
      </c>
      <c r="D13" s="101">
        <f>Lengthsman!D6</f>
        <v>1360</v>
      </c>
      <c r="E13" s="101">
        <f>C13-D13</f>
        <v>1904</v>
      </c>
      <c r="F13" s="220">
        <f>General_Expenditure[[#This Row],[Paid to date]]/General_Expenditure[[#This Row],[Budget]]</f>
        <v>0.41666666666666669</v>
      </c>
    </row>
    <row r="14" spans="2:6" x14ac:dyDescent="0.3">
      <c r="B14" s="226" t="s">
        <v>33</v>
      </c>
      <c r="C14" s="227">
        <v>2060</v>
      </c>
      <c r="D14" s="228">
        <v>0</v>
      </c>
      <c r="E14" s="228">
        <f t="shared" si="0"/>
        <v>2060</v>
      </c>
      <c r="F14" s="114">
        <f>General_Expenditure[[#This Row],[Paid to date]]/General_Expenditure[[#This Row],[Budget]]</f>
        <v>0</v>
      </c>
    </row>
    <row r="15" spans="2:6" x14ac:dyDescent="0.3">
      <c r="B15" s="229" t="s">
        <v>8</v>
      </c>
      <c r="C15" s="233">
        <f>SUBTOTAL(109,General_Expenditure[Budget])</f>
        <v>18168.04</v>
      </c>
      <c r="D15" s="233">
        <f>SUBTOTAL(109,General_Expenditure[Paid to date])</f>
        <v>12189.190000000002</v>
      </c>
      <c r="E15" s="233">
        <f>SUBTOTAL(109,General_Expenditure[Remaining])</f>
        <v>5978.8499999999985</v>
      </c>
      <c r="F15" s="230" t="e">
        <f>SUBTOTAL(1,General_Expenditure[Percentage Complete])</f>
        <v>#DIV/0!</v>
      </c>
    </row>
  </sheetData>
  <conditionalFormatting sqref="E4:E14">
    <cfRule type="cellIs" dxfId="20" priority="1" operator="lessThan">
      <formula>0</formula>
    </cfRule>
  </conditionalFormatting>
  <conditionalFormatting sqref="F4:F14">
    <cfRule type="cellIs" dxfId="19" priority="2" operator="greaterThan">
      <formula>1</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894B-69B7-E64C-9D61-7A958365DB0E}">
  <dimension ref="B2:G39"/>
  <sheetViews>
    <sheetView topLeftCell="A7" zoomScale="125" zoomScaleNormal="200" workbookViewId="0">
      <selection activeCell="G18" sqref="G18"/>
    </sheetView>
  </sheetViews>
  <sheetFormatPr defaultColWidth="11.19921875" defaultRowHeight="15.6" x14ac:dyDescent="0.3"/>
  <cols>
    <col min="2" max="6" width="20.796875" customWidth="1"/>
    <col min="7" max="7" width="15.19921875" bestFit="1" customWidth="1"/>
    <col min="8" max="8" width="15" bestFit="1" customWidth="1"/>
  </cols>
  <sheetData>
    <row r="2" spans="2:6" ht="21" x14ac:dyDescent="0.4">
      <c r="B2" s="10" t="s">
        <v>173</v>
      </c>
    </row>
    <row r="4" spans="2:6" ht="16.2" thickBot="1" x14ac:dyDescent="0.35">
      <c r="B4" s="173" t="s">
        <v>197</v>
      </c>
    </row>
    <row r="5" spans="2:6" ht="16.2" thickBot="1" x14ac:dyDescent="0.35">
      <c r="B5" s="151"/>
      <c r="C5" s="155" t="s">
        <v>9</v>
      </c>
      <c r="D5" s="148" t="s">
        <v>39</v>
      </c>
      <c r="E5" s="156" t="s">
        <v>177</v>
      </c>
    </row>
    <row r="6" spans="2:6" ht="16.8" thickTop="1" thickBot="1" x14ac:dyDescent="0.35">
      <c r="B6" s="153" t="s">
        <v>8</v>
      </c>
      <c r="C6" s="161">
        <v>8912.8799999999992</v>
      </c>
      <c r="D6" s="161">
        <f>SUM(Salary[[#Totals],[Total Spent]],Expenses[[#Totals],[Spent]])</f>
        <v>7464.31</v>
      </c>
      <c r="E6" s="161">
        <f>C6-D6</f>
        <v>1448.5699999999988</v>
      </c>
    </row>
    <row r="7" spans="2:6" ht="16.8" thickTop="1" thickBot="1" x14ac:dyDescent="0.35"/>
    <row r="8" spans="2:6" ht="16.8" thickTop="1" thickBot="1" x14ac:dyDescent="0.35">
      <c r="B8" s="188"/>
      <c r="C8" s="188"/>
      <c r="D8" s="188"/>
      <c r="E8" s="188"/>
    </row>
    <row r="9" spans="2:6" ht="16.2" thickTop="1" x14ac:dyDescent="0.3">
      <c r="B9" s="8" t="s">
        <v>50</v>
      </c>
    </row>
    <row r="10" spans="2:6" ht="16.2" thickBot="1" x14ac:dyDescent="0.35">
      <c r="B10" s="206" t="s">
        <v>43</v>
      </c>
      <c r="C10" s="214" t="s">
        <v>218</v>
      </c>
      <c r="D10" s="207" t="s">
        <v>175</v>
      </c>
      <c r="E10" s="250" t="s">
        <v>51</v>
      </c>
      <c r="F10" s="208" t="s">
        <v>176</v>
      </c>
    </row>
    <row r="11" spans="2:6" ht="16.2" thickBot="1" x14ac:dyDescent="0.35">
      <c r="B11" s="212">
        <v>45810</v>
      </c>
      <c r="C11" s="236" t="s">
        <v>219</v>
      </c>
      <c r="D11" s="146">
        <v>0</v>
      </c>
      <c r="E11" s="146">
        <v>0</v>
      </c>
      <c r="F11" s="147">
        <f>SUBTOTAL(109,Salary[[#This Row],[Direct Payment]:[PAYE/NI]])</f>
        <v>0</v>
      </c>
    </row>
    <row r="12" spans="2:6" ht="16.2" thickBot="1" x14ac:dyDescent="0.35">
      <c r="B12" s="212">
        <v>45845</v>
      </c>
      <c r="C12" s="236" t="s">
        <v>219</v>
      </c>
      <c r="D12" s="35">
        <v>567.55999999999995</v>
      </c>
      <c r="E12" s="146">
        <v>0</v>
      </c>
      <c r="F12" s="147">
        <f>SUBTOTAL(109,Salary[[#This Row],[Direct Payment]:[PAYE/NI]])</f>
        <v>567.55999999999995</v>
      </c>
    </row>
    <row r="13" spans="2:6" ht="16.2" thickBot="1" x14ac:dyDescent="0.35">
      <c r="B13" s="212">
        <v>45873</v>
      </c>
      <c r="C13" s="236" t="s">
        <v>219</v>
      </c>
      <c r="D13" s="35">
        <v>425.76</v>
      </c>
      <c r="E13" s="146">
        <v>0</v>
      </c>
      <c r="F13" s="147">
        <f>SUBTOTAL(109,Salary[[#This Row],[Direct Payment]:[PAYE/NI]])</f>
        <v>425.76</v>
      </c>
    </row>
    <row r="14" spans="2:6" ht="16.2" thickBot="1" x14ac:dyDescent="0.35">
      <c r="B14" s="212">
        <v>45901</v>
      </c>
      <c r="C14" s="236" t="s">
        <v>219</v>
      </c>
      <c r="D14" s="35">
        <v>425.77</v>
      </c>
      <c r="E14" s="146">
        <v>0</v>
      </c>
      <c r="F14" s="147">
        <f>SUBTOTAL(109,Salary[[#This Row],[Direct Payment]:[PAYE/NI]])</f>
        <v>425.77</v>
      </c>
    </row>
    <row r="15" spans="2:6" ht="16.2" thickBot="1" x14ac:dyDescent="0.35">
      <c r="B15" s="212">
        <v>45931</v>
      </c>
      <c r="C15" s="236" t="s">
        <v>219</v>
      </c>
      <c r="D15" s="35">
        <v>449.77</v>
      </c>
      <c r="E15" s="146">
        <v>0</v>
      </c>
      <c r="F15" s="147">
        <f>SUBTOTAL(109,Salary[[#This Row],[Direct Payment]:[PAYE/NI]])</f>
        <v>449.77</v>
      </c>
    </row>
    <row r="16" spans="2:6" ht="16.2" thickBot="1" x14ac:dyDescent="0.35">
      <c r="B16" s="212">
        <v>45964</v>
      </c>
      <c r="C16" s="236" t="s">
        <v>219</v>
      </c>
      <c r="D16" s="35">
        <v>517.87</v>
      </c>
      <c r="E16" s="146">
        <v>0</v>
      </c>
      <c r="F16" s="147">
        <f>SUBTOTAL(109,Salary[[#This Row],[Direct Payment]:[PAYE/NI]])</f>
        <v>517.87</v>
      </c>
    </row>
    <row r="17" spans="2:7" ht="16.2" thickBot="1" x14ac:dyDescent="0.35">
      <c r="B17" s="212">
        <v>45994</v>
      </c>
      <c r="C17" s="236" t="s">
        <v>219</v>
      </c>
      <c r="D17" s="35">
        <v>439.53</v>
      </c>
      <c r="E17" s="146">
        <v>0</v>
      </c>
      <c r="F17" s="147">
        <f>SUBTOTAL(109,Salary[[#This Row],[Direct Payment]:[PAYE/NI]])</f>
        <v>439.53</v>
      </c>
    </row>
    <row r="18" spans="2:7" ht="16.2" thickBot="1" x14ac:dyDescent="0.35">
      <c r="B18" s="212">
        <v>46024</v>
      </c>
      <c r="C18" s="236" t="s">
        <v>219</v>
      </c>
      <c r="D18" s="35">
        <v>439.54</v>
      </c>
      <c r="E18" s="146">
        <v>0</v>
      </c>
      <c r="F18" s="147">
        <f>SUBTOTAL(109,Salary[[#This Row],[Direct Payment]:[PAYE/NI]])</f>
        <v>439.54</v>
      </c>
    </row>
    <row r="19" spans="2:7" ht="16.2" thickBot="1" x14ac:dyDescent="0.35">
      <c r="B19" s="212">
        <v>46048</v>
      </c>
      <c r="C19" s="236" t="s">
        <v>245</v>
      </c>
      <c r="D19" s="146">
        <v>0</v>
      </c>
      <c r="E19" s="146">
        <v>2429.44</v>
      </c>
      <c r="F19" s="147">
        <f>SUBTOTAL(109,Salary[[#This Row],[Direct Payment]:[PAYE/NI]])</f>
        <v>2429.44</v>
      </c>
    </row>
    <row r="20" spans="2:7" ht="16.2" thickBot="1" x14ac:dyDescent="0.35">
      <c r="B20" s="212">
        <v>46055</v>
      </c>
      <c r="C20" s="255" t="s">
        <v>219</v>
      </c>
      <c r="D20" s="146">
        <v>366.17</v>
      </c>
      <c r="E20" s="146">
        <v>413.47</v>
      </c>
      <c r="F20" s="147">
        <f>SUBTOTAL(109,Salary[[#This Row],[Direct Payment]:[PAYE/NI]])</f>
        <v>779.6400000000001</v>
      </c>
    </row>
    <row r="21" spans="2:7" x14ac:dyDescent="0.3">
      <c r="B21" s="212">
        <v>46081</v>
      </c>
      <c r="C21" s="255" t="s">
        <v>219</v>
      </c>
      <c r="D21" s="146">
        <v>439.54</v>
      </c>
      <c r="E21" s="146">
        <v>340.1</v>
      </c>
      <c r="F21" s="147">
        <f>SUBTOTAL(109,Salary[[#This Row],[Direct Payment]:[PAYE/NI]])</f>
        <v>779.6400000000001</v>
      </c>
    </row>
    <row r="22" spans="2:7" x14ac:dyDescent="0.3">
      <c r="B22" s="209" t="s">
        <v>8</v>
      </c>
      <c r="C22" s="209"/>
      <c r="D22" s="210">
        <f>SUBTOTAL(109,Salary[Direct Payment])</f>
        <v>4071.51</v>
      </c>
      <c r="E22" s="210">
        <f>SUBTOTAL(109,Salary[PAYE/NI])</f>
        <v>3183.0099999999998</v>
      </c>
      <c r="F22" s="210">
        <f>SUM(Salary[Total Spent])</f>
        <v>7254.52</v>
      </c>
    </row>
    <row r="25" spans="2:7" x14ac:dyDescent="0.3">
      <c r="B25" s="8" t="s">
        <v>174</v>
      </c>
    </row>
    <row r="26" spans="2:7" ht="16.2" thickBot="1" x14ac:dyDescent="0.35">
      <c r="B26" s="214" t="s">
        <v>43</v>
      </c>
      <c r="C26" s="214" t="s">
        <v>218</v>
      </c>
      <c r="D26" s="192" t="s">
        <v>9</v>
      </c>
      <c r="E26" s="215" t="s">
        <v>39</v>
      </c>
      <c r="F26" s="252" t="s">
        <v>49</v>
      </c>
      <c r="G26" s="215" t="s">
        <v>177</v>
      </c>
    </row>
    <row r="27" spans="2:7" ht="16.2" thickBot="1" x14ac:dyDescent="0.35">
      <c r="B27" s="211">
        <v>45777</v>
      </c>
      <c r="C27" s="237" t="s">
        <v>230</v>
      </c>
      <c r="D27" s="146">
        <v>0</v>
      </c>
      <c r="E27" s="149">
        <v>0</v>
      </c>
      <c r="F27" s="149"/>
      <c r="G27" s="149">
        <f>Expenses[[#This Row],[Budget]]-Expenses[[#This Row],[Spent]]</f>
        <v>0</v>
      </c>
    </row>
    <row r="28" spans="2:7" ht="16.2" thickBot="1" x14ac:dyDescent="0.35">
      <c r="B28" s="212">
        <v>45807</v>
      </c>
      <c r="C28" s="238"/>
      <c r="D28" s="146">
        <v>0</v>
      </c>
      <c r="E28" s="149">
        <v>0</v>
      </c>
      <c r="F28" s="149"/>
      <c r="G28" s="149">
        <f>Expenses[[#This Row],[Budget]]-Expenses[[#This Row],[Spent]]</f>
        <v>0</v>
      </c>
    </row>
    <row r="29" spans="2:7" ht="16.2" thickBot="1" x14ac:dyDescent="0.35">
      <c r="B29" s="212">
        <v>45838</v>
      </c>
      <c r="C29" s="238"/>
      <c r="D29" s="146">
        <v>0</v>
      </c>
      <c r="E29" s="149">
        <v>0</v>
      </c>
      <c r="F29" s="149"/>
      <c r="G29" s="149">
        <f>Expenses[[#This Row],[Budget]]-Expenses[[#This Row],[Spent]]</f>
        <v>0</v>
      </c>
    </row>
    <row r="30" spans="2:7" ht="16.2" thickBot="1" x14ac:dyDescent="0.35">
      <c r="B30" s="212">
        <v>45868</v>
      </c>
      <c r="C30" s="238"/>
      <c r="D30" s="146">
        <v>0</v>
      </c>
      <c r="E30" s="149">
        <v>0</v>
      </c>
      <c r="F30" s="149"/>
      <c r="G30" s="149">
        <f>Expenses[[#This Row],[Budget]]-Expenses[[#This Row],[Spent]]</f>
        <v>0</v>
      </c>
    </row>
    <row r="31" spans="2:7" ht="16.2" thickBot="1" x14ac:dyDescent="0.35">
      <c r="B31" s="212">
        <v>45899</v>
      </c>
      <c r="C31" s="237" t="s">
        <v>230</v>
      </c>
      <c r="D31" s="146">
        <v>124.8</v>
      </c>
      <c r="E31" s="149">
        <v>124.8</v>
      </c>
      <c r="F31" s="149" t="s">
        <v>232</v>
      </c>
      <c r="G31" s="149">
        <f>Expenses[[#This Row],[Budget]]-Expenses[[#This Row],[Spent]]</f>
        <v>0</v>
      </c>
    </row>
    <row r="32" spans="2:7" ht="16.2" thickBot="1" x14ac:dyDescent="0.35">
      <c r="B32" s="212">
        <v>45930</v>
      </c>
      <c r="C32" s="238"/>
      <c r="D32" s="146">
        <v>0</v>
      </c>
      <c r="E32" s="149">
        <v>0</v>
      </c>
      <c r="F32" s="149"/>
      <c r="G32" s="149">
        <f>Expenses[[#This Row],[Budget]]-Expenses[[#This Row],[Spent]]</f>
        <v>0</v>
      </c>
    </row>
    <row r="33" spans="2:7" ht="16.2" thickBot="1" x14ac:dyDescent="0.35">
      <c r="B33" s="212">
        <v>45960</v>
      </c>
      <c r="C33" s="238"/>
      <c r="D33" s="146">
        <v>0</v>
      </c>
      <c r="E33" s="149">
        <v>0</v>
      </c>
      <c r="F33" s="149"/>
      <c r="G33" s="149">
        <f>Expenses[[#This Row],[Budget]]-Expenses[[#This Row],[Spent]]</f>
        <v>0</v>
      </c>
    </row>
    <row r="34" spans="2:7" ht="16.2" thickBot="1" x14ac:dyDescent="0.35">
      <c r="B34" s="212">
        <v>45991</v>
      </c>
      <c r="C34" s="238" t="s">
        <v>237</v>
      </c>
      <c r="D34" s="146">
        <v>0</v>
      </c>
      <c r="E34" s="149">
        <v>84.99</v>
      </c>
      <c r="F34" s="149" t="s">
        <v>238</v>
      </c>
      <c r="G34" s="149">
        <f>Expenses[[#This Row],[Budget]]-Expenses[[#This Row],[Spent]]</f>
        <v>-84.99</v>
      </c>
    </row>
    <row r="35" spans="2:7" ht="16.2" thickBot="1" x14ac:dyDescent="0.35">
      <c r="B35" s="212">
        <v>46021</v>
      </c>
      <c r="C35" s="238"/>
      <c r="D35" s="146">
        <v>0</v>
      </c>
      <c r="E35" s="149">
        <v>0</v>
      </c>
      <c r="F35" s="149"/>
      <c r="G35" s="149">
        <f>Expenses[[#This Row],[Budget]]-Expenses[[#This Row],[Spent]]</f>
        <v>0</v>
      </c>
    </row>
    <row r="36" spans="2:7" ht="16.2" thickBot="1" x14ac:dyDescent="0.35">
      <c r="B36" s="212">
        <v>46052</v>
      </c>
      <c r="C36" s="238"/>
      <c r="D36" s="146">
        <v>0</v>
      </c>
      <c r="E36" s="149">
        <v>0</v>
      </c>
      <c r="F36" s="149"/>
      <c r="G36" s="149">
        <f>Expenses[[#This Row],[Budget]]-Expenses[[#This Row],[Spent]]</f>
        <v>0</v>
      </c>
    </row>
    <row r="37" spans="2:7" ht="16.2" thickBot="1" x14ac:dyDescent="0.35">
      <c r="B37" s="212">
        <v>46081</v>
      </c>
      <c r="C37" s="238"/>
      <c r="D37" s="146">
        <v>0</v>
      </c>
      <c r="E37" s="149">
        <v>0</v>
      </c>
      <c r="F37" s="149"/>
      <c r="G37" s="149">
        <f>Expenses[[#This Row],[Budget]]-Expenses[[#This Row],[Spent]]</f>
        <v>0</v>
      </c>
    </row>
    <row r="38" spans="2:7" ht="16.2" thickBot="1" x14ac:dyDescent="0.35">
      <c r="B38" s="213">
        <v>46111</v>
      </c>
      <c r="C38" s="239"/>
      <c r="D38" s="146">
        <v>0</v>
      </c>
      <c r="E38" s="150">
        <v>0</v>
      </c>
      <c r="F38" s="251"/>
      <c r="G38" s="149">
        <f>Expenses[[#This Row],[Budget]]-Expenses[[#This Row],[Spent]]</f>
        <v>0</v>
      </c>
    </row>
    <row r="39" spans="2:7" ht="16.2" thickTop="1" x14ac:dyDescent="0.3">
      <c r="B39" s="216" t="s">
        <v>8</v>
      </c>
      <c r="C39" s="216"/>
      <c r="D39" s="217">
        <f>SUBTOTAL(109,Expenses[Budget])</f>
        <v>124.8</v>
      </c>
      <c r="E39" s="217">
        <f>SUBTOTAL(109,Expenses[Spent])</f>
        <v>209.79</v>
      </c>
      <c r="F39" s="217"/>
      <c r="G39" s="217">
        <f>SUBTOTAL(109,Expenses[Difference])</f>
        <v>-84.99</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Summary Position</vt:lpstr>
      <vt:lpstr>Bank rec</vt:lpstr>
      <vt:lpstr>Payments</vt:lpstr>
      <vt:lpstr>Receipt</vt:lpstr>
      <vt:lpstr>Bus.AC</vt:lpstr>
      <vt:lpstr>General Income</vt:lpstr>
      <vt:lpstr>Hypothecated Funding</vt:lpstr>
      <vt:lpstr>General Expenditure</vt:lpstr>
      <vt:lpstr>Staff Costs</vt:lpstr>
      <vt:lpstr>Administration Costs</vt:lpstr>
      <vt:lpstr>Training Costs</vt:lpstr>
      <vt:lpstr>Professional Services</vt:lpstr>
      <vt:lpstr>Communications</vt:lpstr>
      <vt:lpstr>Contingency</vt:lpstr>
      <vt:lpstr>Maintenance</vt:lpstr>
      <vt:lpstr>Neighbourhood Plan</vt:lpstr>
      <vt:lpstr>Projects</vt:lpstr>
      <vt:lpstr>Lengthsman</vt:lpstr>
      <vt:lpstr>Signatories</vt:lpstr>
      <vt:lpstr>General Expenditure (old)</vt:lpstr>
      <vt:lpstr>General Expenditure Categories</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Murray</dc:creator>
  <cp:lastModifiedBy>Kate Lee</cp:lastModifiedBy>
  <dcterms:created xsi:type="dcterms:W3CDTF">2026-01-24T14:13:16Z</dcterms:created>
  <dcterms:modified xsi:type="dcterms:W3CDTF">2026-05-04T09:37:27Z</dcterms:modified>
</cp:coreProperties>
</file>